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user\Desktop\Новые файлы\методика заявки эКР\ЭАД\Ульянов\Визы\итерация 2\итерация 3\релиз\Помощник\008\"/>
    </mc:Choice>
  </mc:AlternateContent>
  <workbookProtection workbookPassword="EDC7" lockStructure="1"/>
  <bookViews>
    <workbookView xWindow="0" yWindow="0" windowWidth="20490" windowHeight="6855" tabRatio="839"/>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7" i="5" l="1"/>
  <c r="F62" i="5" l="1"/>
  <c r="F49" i="5"/>
  <c r="H76" i="15" l="1"/>
  <c r="H74" i="15"/>
  <c r="H73" i="15"/>
  <c r="H56" i="15"/>
  <c r="H58" i="15"/>
  <c r="H55" i="15"/>
  <c r="H52" i="15"/>
  <c r="H50" i="15"/>
  <c r="H49" i="15"/>
  <c r="H48" i="15"/>
  <c r="H47" i="15"/>
  <c r="H45" i="15"/>
  <c r="H44" i="15"/>
  <c r="H43" i="15"/>
  <c r="H42" i="15"/>
  <c r="H39" i="15"/>
  <c r="H38" i="15"/>
  <c r="H37" i="15"/>
  <c r="H35" i="15"/>
  <c r="H34" i="15"/>
  <c r="H32" i="15"/>
  <c r="H24" i="15"/>
  <c r="H15" i="15"/>
  <c r="H12" i="15"/>
  <c r="D248" i="5"/>
  <c r="F217" i="5"/>
  <c r="E217" i="5"/>
  <c r="F244" i="5" l="1"/>
  <c r="J32" i="15"/>
  <c r="F74" i="15" l="1"/>
  <c r="F73" i="15"/>
  <c r="F15" i="15"/>
  <c r="D245" i="5" l="1"/>
  <c r="E246" i="5" s="1"/>
  <c r="F239" i="5"/>
  <c r="F197" i="5"/>
  <c r="E197" i="5"/>
  <c r="E242" i="5" l="1"/>
  <c r="D242" i="5"/>
  <c r="AI12" i="4"/>
  <c r="AI11" i="4" s="1"/>
  <c r="D246" i="5" l="1"/>
  <c r="AL24" i="4"/>
  <c r="G205" i="5" l="1"/>
  <c r="E158" i="5" l="1"/>
  <c r="F12" i="5"/>
  <c r="F59" i="5"/>
  <c r="L251" i="5" l="1"/>
  <c r="D234" i="5"/>
  <c r="F234" i="5"/>
  <c r="F235" i="5" s="1"/>
  <c r="G234" i="5"/>
  <c r="H234" i="5"/>
  <c r="I234" i="5"/>
  <c r="J234" i="5"/>
  <c r="C102" i="5"/>
  <c r="C201" i="5"/>
  <c r="B273" i="5"/>
  <c r="B265" i="5"/>
  <c r="B238" i="5"/>
  <c r="B162" i="5"/>
  <c r="B78" i="5"/>
  <c r="B41" i="5"/>
  <c r="D196" i="5" l="1"/>
  <c r="D195" i="5"/>
  <c r="D194" i="5"/>
  <c r="D193" i="5"/>
  <c r="D192" i="5"/>
  <c r="D191" i="5"/>
  <c r="D190" i="5"/>
  <c r="D189" i="5"/>
  <c r="D188" i="5"/>
  <c r="D187" i="5"/>
  <c r="D186" i="5"/>
  <c r="D185" i="5"/>
  <c r="D216" i="5"/>
  <c r="D215" i="5"/>
  <c r="D214" i="5"/>
  <c r="D213" i="5"/>
  <c r="D212" i="5"/>
  <c r="D211" i="5"/>
  <c r="D210" i="5"/>
  <c r="D209" i="5"/>
  <c r="D208" i="5"/>
  <c r="D207" i="5"/>
  <c r="D206" i="5"/>
  <c r="D205" i="5"/>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D150" i="5" l="1"/>
  <c r="E149" i="5" s="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Y71" i="6" l="1"/>
  <c r="Z71" i="6" s="1"/>
  <c r="B144" i="5"/>
  <c r="B145" i="5" s="1"/>
  <c r="B146" i="5" s="1"/>
  <c r="B147" i="5" s="1"/>
  <c r="F21" i="14"/>
  <c r="AB71" i="6" l="1"/>
  <c r="AC71" i="6" s="1"/>
  <c r="B148" i="5"/>
  <c r="B149" i="5" s="1"/>
  <c r="B150" i="5" s="1"/>
  <c r="B151" i="5" s="1"/>
  <c r="AB57" i="18"/>
  <c r="AB55" i="18"/>
  <c r="AB17" i="18"/>
  <c r="AB35" i="18"/>
  <c r="AB36" i="18"/>
  <c r="AB37" i="18"/>
  <c r="AB38" i="18"/>
  <c r="AB39" i="18"/>
  <c r="AB40" i="18"/>
  <c r="AB41" i="18"/>
  <c r="AE71" i="6" l="1"/>
  <c r="AF71" i="6" s="1"/>
  <c r="B152" i="5"/>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AH71" i="6"/>
  <c r="AI71" i="6"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C138" i="6" s="1"/>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H67" i="15" s="1"/>
  <c r="AB62" i="15"/>
  <c r="J62" i="15" s="1"/>
  <c r="H62" i="15" s="1"/>
  <c r="AB27" i="15"/>
  <c r="AB20" i="15"/>
  <c r="J20" i="15" s="1"/>
  <c r="H20" i="15" s="1"/>
  <c r="AB9" i="15"/>
  <c r="J9" i="15" s="1"/>
  <c r="H9" i="15" s="1"/>
  <c r="J27" i="15" l="1"/>
  <c r="H27" i="15" s="1"/>
  <c r="C139" i="20"/>
  <c r="C140" i="20"/>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s="1"/>
  <c r="O25" i="18" l="1"/>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E263" i="5" l="1"/>
  <c r="M90" i="20"/>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C33" i="15" s="1"/>
  <c r="AB34" i="15"/>
  <c r="AB37" i="15"/>
  <c r="AB39" i="15"/>
  <c r="AB74" i="15"/>
  <c r="AB76" i="15"/>
  <c r="AB43" i="15"/>
  <c r="Q43" i="15" s="1"/>
  <c r="AB73" i="15"/>
  <c r="AB12" i="15"/>
  <c r="AB14" i="15"/>
  <c r="AB24" i="15"/>
  <c r="AD11" i="15"/>
  <c r="A61" i="15"/>
  <c r="J74" i="15" l="1"/>
  <c r="J73" i="15"/>
  <c r="J76" i="15"/>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6"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49" i="5" s="1"/>
  <c r="K75" i="18"/>
  <c r="M75" i="18"/>
  <c r="G47" i="5" s="1"/>
  <c r="O75" i="18"/>
  <c r="Q75" i="18"/>
  <c r="G51" i="5" s="1"/>
  <c r="R75" i="18"/>
  <c r="G54" i="5" s="1"/>
  <c r="T75" i="18"/>
  <c r="G52" i="5" s="1"/>
  <c r="L75" i="18"/>
  <c r="G46" i="5" s="1"/>
  <c r="U75" i="18"/>
  <c r="G55" i="5" s="1"/>
  <c r="B136" i="6" s="1"/>
  <c r="V75" i="18"/>
  <c r="G64" i="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D146" i="5" l="1"/>
  <c r="E145" i="5" s="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B411" i="11"/>
  <c r="C413" i="11"/>
  <c r="B413" i="11"/>
  <c r="C414" i="11"/>
  <c r="C412" i="11"/>
  <c r="C138" i="20" s="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C142" i="6" s="1"/>
  <c r="C142" i="20" s="1"/>
  <c r="B47" i="11"/>
  <c r="C2" i="2"/>
  <c r="J2" i="2"/>
  <c r="C28" i="8"/>
  <c r="C2" i="11"/>
  <c r="M475" i="2"/>
  <c r="N475" i="2" s="1"/>
  <c r="J475" i="2"/>
  <c r="M146" i="6"/>
  <c r="T228" i="5" s="1"/>
  <c r="O146" i="6"/>
  <c r="T230" i="5" s="1"/>
  <c r="P130" i="6"/>
  <c r="G67" i="15" l="1"/>
  <c r="F67" i="15"/>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39" i="6"/>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M65" i="10"/>
  <c r="Z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AB233" i="5"/>
  <c r="AF106" i="6" s="1"/>
  <c r="AE106" i="20" s="1"/>
  <c r="AF233" i="5"/>
  <c r="AF111" i="6" s="1"/>
  <c r="AE233" i="5"/>
  <c r="AC233" i="5"/>
  <c r="AD233" i="5"/>
  <c r="AA233" i="5"/>
  <c r="AF104" i="6" s="1"/>
  <c r="AE104" i="20" s="1"/>
  <c r="Z233" i="5"/>
  <c r="AF102" i="6" s="1"/>
  <c r="AE102" i="20" s="1"/>
  <c r="J102" i="6"/>
  <c r="I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AB234" i="5"/>
  <c r="D106" i="6" s="1"/>
  <c r="C106" i="20" s="1"/>
  <c r="AA234" i="5"/>
  <c r="D104" i="6" s="1"/>
  <c r="AE234" i="5"/>
  <c r="AF234" i="5"/>
  <c r="Z234" i="5"/>
  <c r="Q17" i="6"/>
  <c r="Q11" i="6"/>
  <c r="Q7" i="6"/>
  <c r="Q14" i="6"/>
  <c r="T18" i="6"/>
  <c r="T6" i="6" s="1"/>
  <c r="T17" i="6" s="1"/>
  <c r="S6" i="6"/>
  <c r="S17" i="6" s="1"/>
  <c r="P101" i="6"/>
  <c r="R103" i="6"/>
  <c r="V18" i="6"/>
  <c r="Q18" i="20" s="1"/>
  <c r="Q100" i="20"/>
  <c r="R112" i="6"/>
  <c r="R107" i="6"/>
  <c r="D109" i="6"/>
  <c r="D110" i="6"/>
  <c r="D111" i="6"/>
  <c r="C111" i="20" s="1"/>
  <c r="D112" i="20" s="1"/>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S71" i="20" l="1"/>
  <c r="T71" i="20" s="1"/>
  <c r="Y72" i="6"/>
  <c r="AE72" i="6"/>
  <c r="W71" i="20"/>
  <c r="X71" i="20" s="1"/>
  <c r="U71" i="20"/>
  <c r="V71" i="20" s="1"/>
  <c r="AB72" i="6"/>
  <c r="AH72" i="6"/>
  <c r="Y71" i="20"/>
  <c r="Z71" i="20" s="1"/>
  <c r="X72" i="20" l="1"/>
  <c r="V72" i="20"/>
  <c r="T72" i="20"/>
  <c r="Z72" i="20"/>
  <c r="AI72" i="6"/>
  <c r="Z72" i="6"/>
  <c r="B29" i="20"/>
  <c r="AC72" i="6"/>
  <c r="AF72" i="6"/>
  <c r="V107" i="20" l="1"/>
  <c r="T107" i="20"/>
  <c r="X107" i="20" l="1"/>
  <c r="Z107" i="20"/>
  <c r="R107" i="20"/>
  <c r="K11" i="11" l="1"/>
  <c r="C134" i="6" s="1"/>
  <c r="K10" i="11"/>
  <c r="F15" i="5" l="1"/>
  <c r="E276" i="5" s="1"/>
  <c r="F276" i="5" s="1"/>
  <c r="Z39" i="15" l="1"/>
  <c r="Z12" i="15"/>
  <c r="N107" i="20" l="1"/>
  <c r="J107" i="20"/>
  <c r="L107" i="20"/>
  <c r="AD107" i="20"/>
  <c r="AF107" i="20"/>
  <c r="AB107" i="20"/>
  <c r="P107" i="20"/>
  <c r="D107" i="20" l="1"/>
  <c r="D162" i="20"/>
  <c r="M161" i="6"/>
  <c r="G50" i="5" l="1"/>
  <c r="B137" i="20"/>
  <c r="C137" i="6"/>
  <c r="AM50" i="6" s="1"/>
  <c r="AM51" i="6" s="1"/>
  <c r="P161" i="6"/>
  <c r="N161" i="6"/>
  <c r="Q161" i="6"/>
  <c r="R161" i="6"/>
  <c r="J161" i="6"/>
  <c r="L161" i="6"/>
  <c r="K161" i="6"/>
  <c r="D161" i="6"/>
  <c r="F22" i="5"/>
  <c r="E283" i="5" s="1"/>
  <c r="F283" i="5" s="1"/>
  <c r="C26" i="16"/>
  <c r="H161" i="6"/>
  <c r="G161" i="6"/>
  <c r="I161" i="6"/>
  <c r="O161" i="6"/>
  <c r="D162" i="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I161" i="20"/>
  <c r="H161" i="20"/>
  <c r="J161" i="20"/>
  <c r="K161" i="20"/>
  <c r="O161" i="20"/>
  <c r="Q161" i="20"/>
  <c r="L161" i="20"/>
  <c r="P161" i="20"/>
  <c r="M161" i="20"/>
  <c r="G161" i="20"/>
  <c r="D161" i="20"/>
  <c r="N161" i="20"/>
  <c r="R161" i="20"/>
  <c r="AP41" i="6" l="1"/>
  <c r="F9" i="15"/>
  <c r="F12" i="15" s="1"/>
  <c r="G137" i="6"/>
  <c r="G137" i="20" s="1"/>
  <c r="L137" i="6"/>
  <c r="L137" i="20" s="1"/>
  <c r="R137" i="6"/>
  <c r="R137" i="20" s="1"/>
  <c r="O137" i="6"/>
  <c r="O137" i="20" s="1"/>
  <c r="J137" i="6"/>
  <c r="J137" i="20" s="1"/>
  <c r="Q137" i="6"/>
  <c r="Q137" i="20" s="1"/>
  <c r="AP42" i="6"/>
  <c r="AP38" i="6"/>
  <c r="AP39" i="6" s="1"/>
  <c r="AG41" i="6"/>
  <c r="AG42" i="6" s="1"/>
  <c r="I41" i="6"/>
  <c r="I42" i="6" s="1"/>
  <c r="B134" i="20"/>
  <c r="R41" i="6"/>
  <c r="C41" i="6"/>
  <c r="AM41" i="6"/>
  <c r="AA41" i="6"/>
  <c r="AA42" i="6" s="1"/>
  <c r="B144" i="6"/>
  <c r="E134" i="6"/>
  <c r="G134" i="6" s="1"/>
  <c r="G144" i="6" s="1"/>
  <c r="AJ41" i="6"/>
  <c r="U41" i="6"/>
  <c r="O41" i="6"/>
  <c r="O42" i="6" s="1"/>
  <c r="X41" i="6"/>
  <c r="X42" i="6" s="1"/>
  <c r="L41" i="6"/>
  <c r="L42" i="6" s="1"/>
  <c r="AD41" i="6"/>
  <c r="AG51" i="6"/>
  <c r="I137" i="6"/>
  <c r="I137" i="20" s="1"/>
  <c r="N137" i="6"/>
  <c r="N137" i="20" s="1"/>
  <c r="K137" i="6"/>
  <c r="K137" i="20" s="1"/>
  <c r="M137" i="6"/>
  <c r="M137" i="20" s="1"/>
  <c r="H137" i="6"/>
  <c r="H137" i="20" s="1"/>
  <c r="F137" i="6"/>
  <c r="I38" i="6" l="1"/>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O9" i="15"/>
  <c r="E134" i="20"/>
  <c r="AD71" i="6"/>
  <c r="AD39" i="6"/>
  <c r="U39" i="6"/>
  <c r="U71" i="6"/>
  <c r="V71" i="6" s="1"/>
  <c r="Z9" i="15"/>
  <c r="C39" i="6"/>
  <c r="A80" i="6"/>
  <c r="AG39" i="6"/>
  <c r="AG71" i="6"/>
  <c r="AA71" i="6"/>
  <c r="AA39" i="6"/>
  <c r="W71" i="6" l="1"/>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R14" i="20"/>
  <c r="X14" i="20"/>
  <c r="V14" i="20"/>
  <c r="V37" i="20"/>
  <c r="R37" i="20"/>
  <c r="T14" i="20"/>
  <c r="T37" i="20"/>
  <c r="X37" i="20"/>
  <c r="D87" i="20" l="1"/>
  <c r="N44" i="20" l="1"/>
  <c r="T44" i="20" l="1"/>
  <c r="N41" i="20"/>
  <c r="T41" i="20"/>
  <c r="Z44" i="20"/>
  <c r="Z41" i="20"/>
  <c r="V44" i="20" l="1"/>
  <c r="V41" i="20"/>
  <c r="X44" i="20"/>
  <c r="X41" i="20"/>
  <c r="R44" i="20"/>
  <c r="R41" i="20"/>
  <c r="E52" i="16" l="1"/>
  <c r="D52" i="16" s="1"/>
  <c r="E58" i="16"/>
  <c r="D58" i="16" s="1"/>
  <c r="E57" i="16"/>
  <c r="D57" i="16" s="1"/>
  <c r="E59" i="16"/>
  <c r="D59" i="16" s="1"/>
  <c r="E53" i="16"/>
  <c r="D53" i="16" s="1"/>
  <c r="E62" i="16"/>
  <c r="D62" i="16" s="1"/>
  <c r="E45" i="16"/>
  <c r="D45" i="16" s="1"/>
  <c r="E55" i="16"/>
  <c r="D55" i="16" s="1"/>
  <c r="E41" i="16"/>
  <c r="D41" i="16" s="1"/>
  <c r="E56" i="16"/>
  <c r="D56" i="16" s="1"/>
  <c r="E63" i="16"/>
  <c r="D63" i="16" s="1"/>
  <c r="E60" i="16"/>
  <c r="D60" i="16" s="1"/>
  <c r="E54" i="16"/>
  <c r="D54" i="16" s="1"/>
  <c r="E51" i="16"/>
  <c r="D51" i="16" s="1"/>
  <c r="E46" i="16"/>
  <c r="D46" i="16" s="1"/>
  <c r="E42" i="16"/>
  <c r="D42" i="16" s="1"/>
  <c r="E44" i="16"/>
  <c r="D44" i="16" s="1"/>
  <c r="T101" i="20" l="1"/>
  <c r="Z101" i="20"/>
  <c r="N101" i="20"/>
  <c r="AD101" i="20" l="1"/>
  <c r="X101" i="20"/>
  <c r="AB101" i="20" l="1"/>
  <c r="P101" i="20"/>
  <c r="R101" i="20"/>
  <c r="V101" i="20"/>
  <c r="J101" i="20"/>
  <c r="AF101" i="20"/>
  <c r="L101" i="20"/>
  <c r="D101" i="20"/>
  <c r="P41" i="20" l="1"/>
  <c r="P44" i="20"/>
  <c r="P8" i="20"/>
  <c r="AF41" i="20"/>
  <c r="AF44" i="20"/>
  <c r="AF8" i="20"/>
  <c r="AB41" i="20"/>
  <c r="AB44" i="20"/>
  <c r="AB8" i="20"/>
  <c r="L41" i="20"/>
  <c r="L44" i="20"/>
  <c r="L8" i="20"/>
  <c r="J41" i="20"/>
  <c r="J44" i="20"/>
  <c r="J8" i="20"/>
  <c r="V8" i="20"/>
  <c r="R8" i="20"/>
  <c r="AF20" i="20"/>
  <c r="P20" i="20"/>
  <c r="T8" i="20"/>
  <c r="V20" i="20"/>
  <c r="AB14" i="20"/>
  <c r="AB11" i="20"/>
  <c r="L11" i="20"/>
  <c r="L14" i="20"/>
  <c r="R20" i="20"/>
  <c r="AD41" i="20"/>
  <c r="AD44" i="20"/>
  <c r="AD8" i="20"/>
  <c r="J11" i="20"/>
  <c r="J14" i="20"/>
  <c r="X8" i="20"/>
  <c r="P11" i="20"/>
  <c r="P14" i="20"/>
  <c r="R11" i="20"/>
  <c r="V11" i="20"/>
  <c r="AF11" i="20"/>
  <c r="AF14" i="20"/>
  <c r="N8" i="20"/>
  <c r="L20" i="20"/>
  <c r="J20" i="20"/>
  <c r="AB20" i="20"/>
  <c r="Z8" i="20"/>
  <c r="N20" i="20"/>
  <c r="X20" i="20"/>
  <c r="AD20" i="20"/>
  <c r="AD37" i="20"/>
  <c r="AB37" i="20"/>
  <c r="J37" i="20"/>
  <c r="P37" i="20"/>
  <c r="X11" i="20"/>
  <c r="AF37" i="20"/>
  <c r="L37" i="20"/>
  <c r="Z20" i="20"/>
  <c r="T20" i="20"/>
  <c r="AD11" i="20"/>
  <c r="AD14" i="20"/>
  <c r="T11" i="20"/>
  <c r="Z14" i="20"/>
  <c r="Z11" i="20"/>
  <c r="N11" i="20"/>
  <c r="N14" i="20"/>
  <c r="N37" i="20"/>
  <c r="Z37" i="20"/>
  <c r="D37" i="20"/>
  <c r="AD17" i="20"/>
  <c r="AD87" i="20"/>
  <c r="AF87" i="20"/>
  <c r="AF17" i="20"/>
  <c r="J17" i="20"/>
  <c r="J87" i="20"/>
  <c r="L17" i="20"/>
  <c r="L87" i="20"/>
  <c r="Z17" i="20"/>
  <c r="Z87" i="20"/>
  <c r="P17" i="20"/>
  <c r="P87" i="20"/>
  <c r="V17" i="20"/>
  <c r="V87" i="20"/>
  <c r="X17" i="20"/>
  <c r="X87" i="20"/>
  <c r="N87" i="20"/>
  <c r="N17" i="20"/>
  <c r="AB17" i="20"/>
  <c r="AB87" i="20"/>
  <c r="R17" i="20"/>
  <c r="R87" i="20"/>
  <c r="T87" i="20"/>
  <c r="T17" i="20"/>
  <c r="G48" i="5" l="1"/>
  <c r="E42" i="5" s="1"/>
  <c r="J75" i="18" l="1"/>
  <c r="AA75" i="18" s="1"/>
  <c r="D41" i="15"/>
  <c r="H178" i="20" s="1"/>
  <c r="L85" i="20" s="1"/>
  <c r="L15" i="20" s="1"/>
  <c r="L16" i="20" s="1"/>
  <c r="D180" i="20"/>
  <c r="D186" i="20" s="1"/>
  <c r="Q189" i="20" s="1"/>
  <c r="D179" i="20"/>
  <c r="D185" i="20" s="1"/>
  <c r="K188" i="20" s="1"/>
  <c r="D182" i="6"/>
  <c r="D188" i="6" s="1"/>
  <c r="H191" i="6" s="1"/>
  <c r="D181" i="6"/>
  <c r="D187" i="6" s="1"/>
  <c r="O178" i="20"/>
  <c r="Z85" i="20" s="1"/>
  <c r="K178" i="20"/>
  <c r="R85" i="20" s="1"/>
  <c r="G178" i="20"/>
  <c r="J85" i="20" s="1"/>
  <c r="Z37" i="15"/>
  <c r="R178" i="20"/>
  <c r="AF85" i="20" s="1"/>
  <c r="N178" i="20"/>
  <c r="X85" i="20" s="1"/>
  <c r="J178" i="20"/>
  <c r="P85" i="20" s="1"/>
  <c r="D178" i="20"/>
  <c r="L191" i="6"/>
  <c r="I191" i="6"/>
  <c r="Q191" i="6"/>
  <c r="J191" i="6"/>
  <c r="R191" i="6"/>
  <c r="K191" i="6"/>
  <c r="Q178" i="20"/>
  <c r="AD85" i="20" s="1"/>
  <c r="M178" i="20"/>
  <c r="V85" i="20" s="1"/>
  <c r="I178" i="20"/>
  <c r="N85" i="20" s="1"/>
  <c r="I190" i="6"/>
  <c r="M190" i="6"/>
  <c r="Q190" i="6"/>
  <c r="D190" i="6"/>
  <c r="J190" i="6"/>
  <c r="N190" i="6"/>
  <c r="R190" i="6"/>
  <c r="G190" i="6"/>
  <c r="K190" i="6"/>
  <c r="O190" i="6"/>
  <c r="H190" i="6"/>
  <c r="L190" i="6"/>
  <c r="P190" i="6"/>
  <c r="P178" i="20"/>
  <c r="AB85" i="20" s="1"/>
  <c r="L178" i="20"/>
  <c r="T85" i="20" s="1"/>
  <c r="E66" i="5"/>
  <c r="E277" i="5" s="1"/>
  <c r="H189" i="20" l="1"/>
  <c r="M189" i="20"/>
  <c r="D85" i="20"/>
  <c r="D86" i="20" s="1"/>
  <c r="D94" i="20" s="1"/>
  <c r="P39" i="15"/>
  <c r="D188" i="20"/>
  <c r="D189" i="6"/>
  <c r="G192" i="6" s="1"/>
  <c r="I62" i="6" s="1"/>
  <c r="O191" i="6"/>
  <c r="G191" i="6"/>
  <c r="N191" i="6"/>
  <c r="D191" i="6"/>
  <c r="M191" i="6"/>
  <c r="P191" i="6"/>
  <c r="Z38" i="15"/>
  <c r="P189" i="20"/>
  <c r="K189" i="20"/>
  <c r="I189" i="20"/>
  <c r="R189" i="20"/>
  <c r="N189" i="20"/>
  <c r="P188" i="20"/>
  <c r="R188" i="20"/>
  <c r="O189" i="20"/>
  <c r="J189" i="20"/>
  <c r="M188" i="20"/>
  <c r="L189" i="20"/>
  <c r="G189" i="20"/>
  <c r="D189" i="20"/>
  <c r="F151" i="20" s="1"/>
  <c r="D34" i="10" s="1"/>
  <c r="D35" i="10" s="1"/>
  <c r="J188" i="20"/>
  <c r="O14" i="15"/>
  <c r="Q188" i="20"/>
  <c r="N188" i="20"/>
  <c r="H188" i="20"/>
  <c r="D187" i="20"/>
  <c r="P190" i="20" s="1"/>
  <c r="O188" i="20"/>
  <c r="L188" i="20"/>
  <c r="I188" i="20"/>
  <c r="G188" i="20"/>
  <c r="L86" i="20"/>
  <c r="AB15" i="20"/>
  <c r="AB16" i="20" s="1"/>
  <c r="AB86" i="20"/>
  <c r="X15" i="20"/>
  <c r="X16" i="20" s="1"/>
  <c r="X86" i="20"/>
  <c r="K192" i="6"/>
  <c r="U62" i="6" s="1"/>
  <c r="H192" i="6"/>
  <c r="L62" i="6" s="1"/>
  <c r="P192" i="6"/>
  <c r="AJ62" i="6" s="1"/>
  <c r="M192" i="6"/>
  <c r="AA62" i="6" s="1"/>
  <c r="F151" i="6"/>
  <c r="C34" i="10" s="1"/>
  <c r="J192" i="6"/>
  <c r="R62" i="6" s="1"/>
  <c r="R192" i="6"/>
  <c r="AP62" i="6" s="1"/>
  <c r="AF15" i="20"/>
  <c r="AF16" i="20" s="1"/>
  <c r="AF86" i="20"/>
  <c r="Z15" i="20"/>
  <c r="Z16" i="20" s="1"/>
  <c r="Z86" i="20"/>
  <c r="N15" i="20"/>
  <c r="N16" i="20" s="1"/>
  <c r="N86" i="20"/>
  <c r="F277" i="5"/>
  <c r="E287" i="5"/>
  <c r="T15" i="20"/>
  <c r="T16" i="20" s="1"/>
  <c r="T86" i="20"/>
  <c r="V15" i="20"/>
  <c r="V16" i="20" s="1"/>
  <c r="V86" i="20"/>
  <c r="P15" i="20"/>
  <c r="P16" i="20" s="1"/>
  <c r="P86" i="20"/>
  <c r="J15" i="20"/>
  <c r="J16" i="20" s="1"/>
  <c r="J86" i="20"/>
  <c r="AD15" i="20"/>
  <c r="AD16" i="20" s="1"/>
  <c r="AD86" i="20"/>
  <c r="R15" i="20"/>
  <c r="R16" i="20" s="1"/>
  <c r="R86" i="20"/>
  <c r="V14" i="15" l="1"/>
  <c r="O7" i="15"/>
  <c r="D93" i="20"/>
  <c r="D15" i="20"/>
  <c r="D16" i="20" s="1"/>
  <c r="D17" i="20" s="1"/>
  <c r="V39" i="15"/>
  <c r="T39" i="15"/>
  <c r="O73" i="15"/>
  <c r="R73" i="15" s="1"/>
  <c r="S73" i="15" s="1"/>
  <c r="N192" i="6"/>
  <c r="AD62" i="6" s="1"/>
  <c r="AD63" i="6" s="1"/>
  <c r="D192" i="6"/>
  <c r="C62" i="6" s="1"/>
  <c r="Q192" i="6"/>
  <c r="AM62" i="6" s="1"/>
  <c r="AM63" i="6" s="1"/>
  <c r="I192" i="6"/>
  <c r="O62" i="6" s="1"/>
  <c r="O65" i="6" s="1"/>
  <c r="L192" i="6"/>
  <c r="X62" i="6" s="1"/>
  <c r="X63" i="6" s="1"/>
  <c r="O192" i="6"/>
  <c r="AG62" i="6" s="1"/>
  <c r="J190" i="20"/>
  <c r="Q190" i="20"/>
  <c r="K190" i="20"/>
  <c r="I190" i="20"/>
  <c r="R190" i="20"/>
  <c r="L190" i="20"/>
  <c r="C52" i="17"/>
  <c r="D52" i="17" s="1"/>
  <c r="C53" i="17"/>
  <c r="D53" i="17" s="1"/>
  <c r="O190" i="20"/>
  <c r="N190" i="20"/>
  <c r="M190" i="20"/>
  <c r="H190" i="20"/>
  <c r="G190" i="20"/>
  <c r="D190" i="20"/>
  <c r="O71" i="15"/>
  <c r="V71" i="15" s="1"/>
  <c r="R14" i="15"/>
  <c r="S14" i="15" s="1"/>
  <c r="W14" i="15" s="1"/>
  <c r="C43" i="16" s="1"/>
  <c r="F43" i="16" s="1"/>
  <c r="E43" i="16" s="1"/>
  <c r="D43" i="16" s="1"/>
  <c r="B289" i="5"/>
  <c r="C289" i="5"/>
  <c r="B288" i="5"/>
  <c r="C48" i="4"/>
  <c r="AP65" i="6"/>
  <c r="AP35" i="6" s="1"/>
  <c r="AP63" i="6"/>
  <c r="G33" i="10"/>
  <c r="C35" i="10"/>
  <c r="AJ65" i="6"/>
  <c r="AJ35" i="6" s="1"/>
  <c r="AJ63" i="6"/>
  <c r="U63" i="6"/>
  <c r="U65" i="6"/>
  <c r="AM65" i="6"/>
  <c r="AM35" i="6" s="1"/>
  <c r="AO62" i="6" s="1"/>
  <c r="AO63" i="6" s="1"/>
  <c r="X65" i="6"/>
  <c r="I63" i="6"/>
  <c r="I65" i="6"/>
  <c r="D36" i="10"/>
  <c r="I49" i="10"/>
  <c r="M49" i="10"/>
  <c r="C50" i="10"/>
  <c r="J49" i="10"/>
  <c r="N49" i="10"/>
  <c r="E50" i="10"/>
  <c r="G49" i="10"/>
  <c r="K49" i="10"/>
  <c r="O49" i="10"/>
  <c r="F50" i="10"/>
  <c r="H49" i="10"/>
  <c r="L49" i="10"/>
  <c r="P49" i="10"/>
  <c r="R65" i="6"/>
  <c r="R35" i="6" s="1"/>
  <c r="R63" i="6"/>
  <c r="AA65" i="6"/>
  <c r="AA35" i="6" s="1"/>
  <c r="AC62" i="6" s="1"/>
  <c r="AC63" i="6" s="1"/>
  <c r="AA63" i="6"/>
  <c r="L65" i="6"/>
  <c r="L63" i="6"/>
  <c r="C65" i="6"/>
  <c r="C35" i="6" s="1"/>
  <c r="C63" i="6"/>
  <c r="B80" i="6"/>
  <c r="O63" i="6"/>
  <c r="AG63" i="6"/>
  <c r="AG65" i="6"/>
  <c r="AD65" i="6" l="1"/>
  <c r="AD35" i="6" s="1"/>
  <c r="AD12" i="6" s="1"/>
  <c r="D27" i="20"/>
  <c r="V7" i="15"/>
  <c r="R7" i="15"/>
  <c r="S7" i="15" s="1"/>
  <c r="W7" i="15" s="1"/>
  <c r="V73" i="15"/>
  <c r="W73" i="15" s="1"/>
  <c r="C61" i="16" s="1"/>
  <c r="F61" i="16" s="1"/>
  <c r="E61" i="16" s="1"/>
  <c r="D61" i="16" s="1"/>
  <c r="U38" i="15"/>
  <c r="U39" i="15"/>
  <c r="Z32" i="15"/>
  <c r="R71" i="15"/>
  <c r="S71" i="15" s="1"/>
  <c r="W71" i="15" s="1"/>
  <c r="AQ38" i="6"/>
  <c r="AP12" i="6"/>
  <c r="AP36" i="6"/>
  <c r="AR38" i="6"/>
  <c r="AR68" i="6"/>
  <c r="AR69" i="6" s="1"/>
  <c r="AQ73" i="6"/>
  <c r="AQ75" i="6" s="1"/>
  <c r="AQ68" i="6"/>
  <c r="AR73" i="6"/>
  <c r="AR75" i="6" s="1"/>
  <c r="P40" i="10"/>
  <c r="P46" i="10" s="1"/>
  <c r="AR62" i="6"/>
  <c r="AR63" i="6" s="1"/>
  <c r="AQ62" i="6"/>
  <c r="D38" i="6"/>
  <c r="C12" i="6"/>
  <c r="E38" i="6"/>
  <c r="C36" i="6"/>
  <c r="D47" i="6"/>
  <c r="D50" i="6"/>
  <c r="E68" i="6"/>
  <c r="D73" i="6"/>
  <c r="C76" i="6"/>
  <c r="C77" i="6" s="1"/>
  <c r="D68" i="6"/>
  <c r="C70" i="6"/>
  <c r="E73" i="6"/>
  <c r="L81" i="15"/>
  <c r="C41" i="10"/>
  <c r="C47" i="10" s="1"/>
  <c r="D62" i="6"/>
  <c r="E62" i="6"/>
  <c r="E63" i="6" s="1"/>
  <c r="AE38" i="6"/>
  <c r="AF38" i="6"/>
  <c r="AF39" i="6" s="1"/>
  <c r="AF44" i="6"/>
  <c r="AF45" i="6" s="1"/>
  <c r="AF50" i="6"/>
  <c r="AF51" i="6" s="1"/>
  <c r="AF56" i="6"/>
  <c r="AF57" i="6" s="1"/>
  <c r="AF59" i="6"/>
  <c r="AF60" i="6" s="1"/>
  <c r="AE68" i="6"/>
  <c r="L40" i="10"/>
  <c r="L46" i="10" s="1"/>
  <c r="AF62" i="6"/>
  <c r="AF63" i="6" s="1"/>
  <c r="AK38" i="6"/>
  <c r="AL38" i="6"/>
  <c r="AJ12" i="6"/>
  <c r="AJ36" i="6"/>
  <c r="AL68" i="6"/>
  <c r="AL69" i="6" s="1"/>
  <c r="AK73" i="6"/>
  <c r="AK75" i="6" s="1"/>
  <c r="AK68" i="6"/>
  <c r="AL73" i="6"/>
  <c r="AL75" i="6" s="1"/>
  <c r="N40" i="10"/>
  <c r="N46" i="10" s="1"/>
  <c r="AL62" i="6"/>
  <c r="AL63" i="6" s="1"/>
  <c r="AK62" i="6"/>
  <c r="S38" i="6"/>
  <c r="R12" i="6"/>
  <c r="T38" i="6"/>
  <c r="R36" i="6"/>
  <c r="T68" i="6"/>
  <c r="S73" i="6"/>
  <c r="S75" i="6" s="1"/>
  <c r="S68" i="6"/>
  <c r="R70" i="6"/>
  <c r="T73" i="6"/>
  <c r="T75" i="6" s="1"/>
  <c r="H40" i="10"/>
  <c r="H46" i="10" s="1"/>
  <c r="S62" i="6"/>
  <c r="T62" i="6"/>
  <c r="T63" i="6" s="1"/>
  <c r="AG66" i="6"/>
  <c r="L66" i="6"/>
  <c r="AA12" i="6"/>
  <c r="AB38" i="6"/>
  <c r="AC38" i="6"/>
  <c r="AB73" i="6"/>
  <c r="AB75" i="6" s="1"/>
  <c r="AB68" i="6"/>
  <c r="AC68" i="6"/>
  <c r="AC69" i="6" s="1"/>
  <c r="AC73" i="6"/>
  <c r="AC75" i="6" s="1"/>
  <c r="K40" i="10"/>
  <c r="K46" i="10" s="1"/>
  <c r="X66" i="6"/>
  <c r="AM12" i="6"/>
  <c r="AM36" i="6"/>
  <c r="AN38" i="6"/>
  <c r="AO38" i="6"/>
  <c r="AN73" i="6"/>
  <c r="AN75" i="6" s="1"/>
  <c r="AN68" i="6"/>
  <c r="AO68" i="6"/>
  <c r="AO69" i="6" s="1"/>
  <c r="AO73" i="6"/>
  <c r="AO75" i="6" s="1"/>
  <c r="O40" i="10"/>
  <c r="O46" i="10" s="1"/>
  <c r="U66" i="6"/>
  <c r="U35" i="6"/>
  <c r="F96" i="15"/>
  <c r="C34" i="16"/>
  <c r="F93" i="15"/>
  <c r="F97" i="15"/>
  <c r="C35" i="16"/>
  <c r="F90" i="15" s="1"/>
  <c r="F89" i="15"/>
  <c r="F94" i="15"/>
  <c r="O66" i="6"/>
  <c r="AA66" i="6"/>
  <c r="AB65" i="6"/>
  <c r="AC65" i="6"/>
  <c r="AC66" i="6" s="1"/>
  <c r="AM66" i="6"/>
  <c r="AN65" i="6"/>
  <c r="AO65" i="6"/>
  <c r="AO66" i="6" s="1"/>
  <c r="AG35" i="6"/>
  <c r="AH65" i="6" s="1"/>
  <c r="I66" i="6"/>
  <c r="I35" i="6"/>
  <c r="AL65" i="6"/>
  <c r="AL66" i="6" s="1"/>
  <c r="AJ66" i="6"/>
  <c r="AK65" i="6"/>
  <c r="A35" i="10"/>
  <c r="J48" i="10"/>
  <c r="N48" i="10"/>
  <c r="E49" i="10"/>
  <c r="G48" i="10"/>
  <c r="K48" i="10"/>
  <c r="O48" i="10"/>
  <c r="F49" i="10"/>
  <c r="H48" i="10"/>
  <c r="L48" i="10"/>
  <c r="P48" i="10"/>
  <c r="M48" i="10"/>
  <c r="C36" i="10"/>
  <c r="I48" i="10"/>
  <c r="C49" i="10"/>
  <c r="AQ65" i="6"/>
  <c r="AR65" i="6"/>
  <c r="AR66" i="6" s="1"/>
  <c r="AP66" i="6"/>
  <c r="O35" i="6"/>
  <c r="P65" i="6" s="1"/>
  <c r="M65" i="20" s="1"/>
  <c r="D65" i="6"/>
  <c r="E65" i="6"/>
  <c r="C66" i="6"/>
  <c r="C80" i="6"/>
  <c r="L35" i="6"/>
  <c r="N65" i="6" s="1"/>
  <c r="N66" i="6" s="1"/>
  <c r="AB62" i="6"/>
  <c r="S65" i="6"/>
  <c r="T65" i="6"/>
  <c r="T66" i="6" s="1"/>
  <c r="R66" i="6"/>
  <c r="X35" i="6"/>
  <c r="Y65" i="6" s="1"/>
  <c r="AN62" i="6"/>
  <c r="AE65" i="6"/>
  <c r="AF65" i="6"/>
  <c r="AF66" i="6" s="1"/>
  <c r="AD66" i="6"/>
  <c r="AE62" i="6" l="1"/>
  <c r="AE73" i="6"/>
  <c r="AE75" i="6" s="1"/>
  <c r="AF53" i="6"/>
  <c r="AF54" i="6" s="1"/>
  <c r="AF41" i="6"/>
  <c r="AF42" i="6" s="1"/>
  <c r="AF73" i="6"/>
  <c r="AF75" i="6" s="1"/>
  <c r="AF68" i="6"/>
  <c r="AF69" i="6" s="1"/>
  <c r="AF47" i="6"/>
  <c r="AF48" i="6" s="1"/>
  <c r="U32" i="15"/>
  <c r="U31" i="15" s="1"/>
  <c r="W39" i="15"/>
  <c r="C52" i="16" s="1"/>
  <c r="F49" i="16" s="1"/>
  <c r="E49" i="16" s="1"/>
  <c r="D49" i="16" s="1"/>
  <c r="W38" i="15"/>
  <c r="C51" i="16" s="1"/>
  <c r="F48" i="16" s="1"/>
  <c r="E48" i="16" s="1"/>
  <c r="D48" i="16" s="1"/>
  <c r="U36" i="15"/>
  <c r="M65" i="6"/>
  <c r="M66" i="6" s="1"/>
  <c r="N67" i="20"/>
  <c r="AH66" i="6"/>
  <c r="Y65" i="20"/>
  <c r="Y66" i="6"/>
  <c r="S65" i="20"/>
  <c r="I12" i="6"/>
  <c r="J38" i="6"/>
  <c r="I36" i="6"/>
  <c r="K38" i="6"/>
  <c r="K56" i="6"/>
  <c r="K57" i="6" s="1"/>
  <c r="J73" i="6"/>
  <c r="J75" i="6" s="1"/>
  <c r="J68" i="6"/>
  <c r="K73" i="6"/>
  <c r="K75" i="6" s="1"/>
  <c r="K68" i="6"/>
  <c r="I70" i="6"/>
  <c r="E41" i="10"/>
  <c r="E47" i="10" s="1"/>
  <c r="K62" i="6"/>
  <c r="K63" i="6" s="1"/>
  <c r="J62" i="6"/>
  <c r="C49" i="4"/>
  <c r="C50" i="4" s="1"/>
  <c r="B80" i="15" s="1"/>
  <c r="U12" i="6"/>
  <c r="V38" i="6"/>
  <c r="W38" i="6"/>
  <c r="V73" i="6"/>
  <c r="V75" i="6" s="1"/>
  <c r="V68" i="6"/>
  <c r="W68" i="6"/>
  <c r="W69" i="6" s="1"/>
  <c r="W73" i="6"/>
  <c r="W75" i="6" s="1"/>
  <c r="I40" i="10"/>
  <c r="I46" i="10" s="1"/>
  <c r="V62" i="6"/>
  <c r="W62" i="6"/>
  <c r="W63" i="6" s="1"/>
  <c r="AM9" i="6"/>
  <c r="AM6" i="6"/>
  <c r="AM14" i="6" s="1"/>
  <c r="AM13" i="6"/>
  <c r="AI65" i="6"/>
  <c r="AI66" i="6" s="1"/>
  <c r="AN63" i="6"/>
  <c r="AC62" i="20"/>
  <c r="AD62" i="20" s="1"/>
  <c r="S66" i="6"/>
  <c r="O65" i="20"/>
  <c r="P63" i="6"/>
  <c r="AQ66" i="6"/>
  <c r="AE65" i="20"/>
  <c r="AK66" i="6"/>
  <c r="AA65" i="20"/>
  <c r="AB66" i="6"/>
  <c r="U65" i="20"/>
  <c r="Q65" i="6"/>
  <c r="AO39" i="6"/>
  <c r="AO41" i="6"/>
  <c r="AO42" i="6" s="1"/>
  <c r="AO44" i="6"/>
  <c r="AO45" i="6" s="1"/>
  <c r="AO47" i="6"/>
  <c r="AO48" i="6" s="1"/>
  <c r="AO50" i="6"/>
  <c r="AO51" i="6" s="1"/>
  <c r="AO53" i="6"/>
  <c r="AO54" i="6" s="1"/>
  <c r="AO56" i="6"/>
  <c r="AO57" i="6" s="1"/>
  <c r="AO59" i="6"/>
  <c r="AO60" i="6" s="1"/>
  <c r="AC39" i="6"/>
  <c r="AC41" i="6"/>
  <c r="AC42" i="6" s="1"/>
  <c r="AC44" i="6"/>
  <c r="AC45" i="6" s="1"/>
  <c r="AC47" i="6"/>
  <c r="AC48" i="6" s="1"/>
  <c r="AC50" i="6"/>
  <c r="AC51" i="6" s="1"/>
  <c r="AC53" i="6"/>
  <c r="AC54" i="6" s="1"/>
  <c r="AC56" i="6"/>
  <c r="AC57" i="6" s="1"/>
  <c r="AC59" i="6"/>
  <c r="AC60" i="6" s="1"/>
  <c r="T70" i="6"/>
  <c r="T69" i="6"/>
  <c r="S44" i="6"/>
  <c r="S47" i="6"/>
  <c r="S50" i="6"/>
  <c r="S53" i="6"/>
  <c r="S56" i="6"/>
  <c r="S39" i="6"/>
  <c r="S41" i="6"/>
  <c r="S59" i="6"/>
  <c r="O38" i="20"/>
  <c r="AK74" i="6"/>
  <c r="AL74" i="6"/>
  <c r="AE69" i="6"/>
  <c r="W68" i="20"/>
  <c r="AE39" i="6"/>
  <c r="AE41" i="6"/>
  <c r="AE44" i="6"/>
  <c r="AE47" i="6"/>
  <c r="AE50" i="6"/>
  <c r="AE53" i="6"/>
  <c r="AE56" i="6"/>
  <c r="AE59" i="6"/>
  <c r="W38" i="20"/>
  <c r="D48" i="6"/>
  <c r="C47" i="20"/>
  <c r="D41" i="6"/>
  <c r="D39" i="6"/>
  <c r="D44" i="6"/>
  <c r="D53" i="6"/>
  <c r="D56" i="6"/>
  <c r="D59" i="6"/>
  <c r="C38" i="20"/>
  <c r="AR39" i="6"/>
  <c r="AR41" i="6"/>
  <c r="AR42" i="6" s="1"/>
  <c r="AR44" i="6"/>
  <c r="AR45" i="6" s="1"/>
  <c r="AR47" i="6"/>
  <c r="AR48" i="6" s="1"/>
  <c r="AR50" i="6"/>
  <c r="AR51" i="6" s="1"/>
  <c r="AR53" i="6"/>
  <c r="AR54" i="6" s="1"/>
  <c r="AR56" i="6"/>
  <c r="AR57" i="6" s="1"/>
  <c r="AR59" i="6"/>
  <c r="AR60" i="6" s="1"/>
  <c r="AB63" i="6"/>
  <c r="U62" i="20"/>
  <c r="V62" i="20" s="1"/>
  <c r="AN66" i="6"/>
  <c r="AC65" i="20"/>
  <c r="W65" i="6"/>
  <c r="W66" i="6" s="1"/>
  <c r="AN39" i="6"/>
  <c r="AN41" i="6"/>
  <c r="AN44" i="6"/>
  <c r="AN47" i="6"/>
  <c r="AN50" i="6"/>
  <c r="AN53" i="6"/>
  <c r="AN56" i="6"/>
  <c r="AN59" i="6"/>
  <c r="AC38" i="20"/>
  <c r="AB39" i="6"/>
  <c r="AB41" i="6"/>
  <c r="AB44" i="6"/>
  <c r="AB47" i="6"/>
  <c r="AB50" i="6"/>
  <c r="AB53" i="6"/>
  <c r="AB56" i="6"/>
  <c r="AB59" i="6"/>
  <c r="U38" i="20"/>
  <c r="S74" i="6"/>
  <c r="T74" i="6"/>
  <c r="AK63" i="6"/>
  <c r="AA62" i="20"/>
  <c r="AB62" i="20" s="1"/>
  <c r="AK69" i="6"/>
  <c r="AA68" i="20"/>
  <c r="AJ6" i="6"/>
  <c r="AJ14" i="6" s="1"/>
  <c r="AJ13" i="6"/>
  <c r="AJ9" i="6"/>
  <c r="AE63" i="6"/>
  <c r="W62" i="20"/>
  <c r="X62" i="20" s="1"/>
  <c r="E74" i="6"/>
  <c r="E75" i="6"/>
  <c r="D74" i="6"/>
  <c r="D75" i="6"/>
  <c r="AQ63" i="6"/>
  <c r="AE62" i="20"/>
  <c r="AF62" i="20" s="1"/>
  <c r="AQ69" i="6"/>
  <c r="AE68" i="20"/>
  <c r="AQ74" i="6"/>
  <c r="AR74" i="6"/>
  <c r="Y38" i="6"/>
  <c r="Z38" i="6"/>
  <c r="X12" i="6"/>
  <c r="Z68" i="6"/>
  <c r="Z69" i="6" s="1"/>
  <c r="Y73" i="6"/>
  <c r="Y75" i="6" s="1"/>
  <c r="Y68" i="6"/>
  <c r="Z73" i="6"/>
  <c r="Z75" i="6" s="1"/>
  <c r="J40" i="10"/>
  <c r="J46" i="10" s="1"/>
  <c r="Y62" i="6"/>
  <c r="Z62" i="6"/>
  <c r="Z63" i="6" s="1"/>
  <c r="E66" i="6"/>
  <c r="E67" i="6"/>
  <c r="Q63" i="6"/>
  <c r="K65" i="6"/>
  <c r="K66" i="6" s="1"/>
  <c r="L36" i="6"/>
  <c r="M38" i="6"/>
  <c r="N38" i="6"/>
  <c r="L12" i="6"/>
  <c r="N68" i="6"/>
  <c r="N59" i="6"/>
  <c r="N60" i="6" s="1"/>
  <c r="L70" i="6"/>
  <c r="M73" i="6"/>
  <c r="M75" i="6" s="1"/>
  <c r="M68" i="6"/>
  <c r="N73" i="6"/>
  <c r="N75" i="6" s="1"/>
  <c r="F41" i="10"/>
  <c r="F47" i="10" s="1"/>
  <c r="M62" i="6"/>
  <c r="N62" i="6"/>
  <c r="N63" i="6" s="1"/>
  <c r="D66" i="6"/>
  <c r="C65" i="20"/>
  <c r="J65" i="6"/>
  <c r="P66" i="6"/>
  <c r="Q66" i="6"/>
  <c r="V65" i="6"/>
  <c r="AN69" i="6"/>
  <c r="AC68" i="20"/>
  <c r="AN74" i="6"/>
  <c r="AO74" i="6"/>
  <c r="Z65" i="6"/>
  <c r="Z66" i="6" s="1"/>
  <c r="AB69" i="6"/>
  <c r="U68" i="20"/>
  <c r="AA9" i="6"/>
  <c r="AA6" i="6"/>
  <c r="AA13" i="6"/>
  <c r="S63" i="6"/>
  <c r="O62" i="20"/>
  <c r="P62" i="20" s="1"/>
  <c r="S70" i="6"/>
  <c r="S69" i="6"/>
  <c r="O68" i="20"/>
  <c r="T41" i="6"/>
  <c r="T42" i="6" s="1"/>
  <c r="T39" i="6"/>
  <c r="T44" i="6"/>
  <c r="T45" i="6" s="1"/>
  <c r="T47" i="6"/>
  <c r="T48" i="6" s="1"/>
  <c r="T50" i="6"/>
  <c r="T51" i="6" s="1"/>
  <c r="T53" i="6"/>
  <c r="T54" i="6" s="1"/>
  <c r="T56" i="6"/>
  <c r="T57" i="6" s="1"/>
  <c r="T59" i="6"/>
  <c r="T60" i="6" s="1"/>
  <c r="AL39" i="6"/>
  <c r="AL41" i="6"/>
  <c r="AL42" i="6" s="1"/>
  <c r="AL44" i="6"/>
  <c r="AL45" i="6" s="1"/>
  <c r="AL47" i="6"/>
  <c r="AL48" i="6" s="1"/>
  <c r="AL50" i="6"/>
  <c r="AL51" i="6" s="1"/>
  <c r="AL53" i="6"/>
  <c r="AL54" i="6" s="1"/>
  <c r="AL56" i="6"/>
  <c r="AL57" i="6" s="1"/>
  <c r="AL59" i="6"/>
  <c r="AL60" i="6" s="1"/>
  <c r="D63" i="6"/>
  <c r="C62" i="20"/>
  <c r="E70" i="6"/>
  <c r="E69" i="6"/>
  <c r="E41" i="6"/>
  <c r="E42" i="6" s="1"/>
  <c r="E39" i="6"/>
  <c r="E44" i="6"/>
  <c r="E45" i="6" s="1"/>
  <c r="E47" i="6"/>
  <c r="E48" i="6" s="1"/>
  <c r="E50" i="6"/>
  <c r="E51" i="6" s="1"/>
  <c r="E53" i="6"/>
  <c r="E54" i="6" s="1"/>
  <c r="E56" i="6"/>
  <c r="E57" i="6" s="1"/>
  <c r="E59" i="6"/>
  <c r="E60" i="6" s="1"/>
  <c r="AP9" i="6"/>
  <c r="AP6" i="6"/>
  <c r="AP14" i="6" s="1"/>
  <c r="AP13" i="6"/>
  <c r="AE66" i="6"/>
  <c r="W65" i="20"/>
  <c r="O12" i="6"/>
  <c r="O36" i="6"/>
  <c r="P38" i="6"/>
  <c r="Q38" i="6"/>
  <c r="P45" i="6"/>
  <c r="P48" i="6"/>
  <c r="P51" i="6"/>
  <c r="P54" i="6"/>
  <c r="Q45" i="6"/>
  <c r="Q48" i="6"/>
  <c r="Q51" i="6"/>
  <c r="Q54" i="6"/>
  <c r="Q57" i="6"/>
  <c r="O70" i="6"/>
  <c r="P73" i="6"/>
  <c r="P75" i="6" s="1"/>
  <c r="P57" i="6"/>
  <c r="P68" i="6"/>
  <c r="Q73" i="6"/>
  <c r="Q75" i="6" s="1"/>
  <c r="Q68" i="6"/>
  <c r="G40" i="10"/>
  <c r="G46" i="10" s="1"/>
  <c r="Q62" i="6"/>
  <c r="P62" i="6"/>
  <c r="M62" i="20" s="1"/>
  <c r="N62" i="20" s="1"/>
  <c r="AG12" i="6"/>
  <c r="AH38" i="6"/>
  <c r="AI38" i="6"/>
  <c r="AI39" i="6" s="1"/>
  <c r="AH47" i="6"/>
  <c r="AH50" i="6"/>
  <c r="AI41" i="6"/>
  <c r="AI42" i="6" s="1"/>
  <c r="AI44" i="6"/>
  <c r="AI45" i="6" s="1"/>
  <c r="AI47" i="6"/>
  <c r="AI48" i="6" s="1"/>
  <c r="AI50" i="6"/>
  <c r="AI51" i="6" s="1"/>
  <c r="AI53" i="6"/>
  <c r="AI54" i="6" s="1"/>
  <c r="AH73" i="6"/>
  <c r="AH75" i="6" s="1"/>
  <c r="AI56" i="6"/>
  <c r="AI57" i="6" s="1"/>
  <c r="AH68" i="6"/>
  <c r="AI68" i="6"/>
  <c r="AI69" i="6" s="1"/>
  <c r="AI59" i="6"/>
  <c r="AI60" i="6" s="1"/>
  <c r="AI73" i="6"/>
  <c r="AI75" i="6" s="1"/>
  <c r="M40" i="10"/>
  <c r="M46" i="10" s="1"/>
  <c r="AI62" i="6"/>
  <c r="AI63" i="6" s="1"/>
  <c r="AH62" i="6"/>
  <c r="R9" i="6"/>
  <c r="R6" i="6"/>
  <c r="R13" i="6"/>
  <c r="AK41" i="6"/>
  <c r="AK44" i="6"/>
  <c r="AK47" i="6"/>
  <c r="AK50" i="6"/>
  <c r="AK53" i="6"/>
  <c r="AK56" i="6"/>
  <c r="AK39" i="6"/>
  <c r="AK59" i="6"/>
  <c r="AA38" i="20"/>
  <c r="AD9" i="6"/>
  <c r="AD6" i="6"/>
  <c r="AD13" i="6"/>
  <c r="D70" i="6"/>
  <c r="D69" i="6"/>
  <c r="C68" i="20"/>
  <c r="D51" i="6"/>
  <c r="C50" i="20"/>
  <c r="B27" i="6"/>
  <c r="C9" i="6"/>
  <c r="C6" i="6"/>
  <c r="C14" i="6" s="1"/>
  <c r="C13" i="6"/>
  <c r="C4" i="15"/>
  <c r="E4" i="15"/>
  <c r="AQ41" i="6"/>
  <c r="AQ44" i="6"/>
  <c r="AQ47" i="6"/>
  <c r="AQ50" i="6"/>
  <c r="AQ53" i="6"/>
  <c r="AQ56" i="6"/>
  <c r="AQ39" i="6"/>
  <c r="AQ59" i="6"/>
  <c r="AE38" i="20"/>
  <c r="K65" i="20" l="1"/>
  <c r="U6" i="15"/>
  <c r="E37" i="6"/>
  <c r="AB40" i="20"/>
  <c r="AK42" i="6"/>
  <c r="AA41" i="20"/>
  <c r="AQ48" i="6"/>
  <c r="AE47" i="20"/>
  <c r="D68" i="20"/>
  <c r="D80" i="20" s="1"/>
  <c r="D70" i="20"/>
  <c r="AD8" i="6"/>
  <c r="AE20" i="6"/>
  <c r="AF20" i="6"/>
  <c r="AD17" i="6"/>
  <c r="AD7" i="6"/>
  <c r="AK60" i="6"/>
  <c r="AA59" i="20"/>
  <c r="AK51" i="6"/>
  <c r="AA50" i="20"/>
  <c r="L67" i="20"/>
  <c r="AH69" i="6"/>
  <c r="Y68" i="20"/>
  <c r="AH51" i="6"/>
  <c r="Y50" i="20"/>
  <c r="AG13" i="6"/>
  <c r="AG9" i="6"/>
  <c r="AG6" i="6"/>
  <c r="AG14" i="6" s="1"/>
  <c r="Q69" i="6"/>
  <c r="Q70" i="6"/>
  <c r="P39" i="6"/>
  <c r="P41" i="6"/>
  <c r="P44" i="6"/>
  <c r="M44" i="20" s="1"/>
  <c r="P47" i="6"/>
  <c r="M47" i="20" s="1"/>
  <c r="P50" i="6"/>
  <c r="M50" i="20" s="1"/>
  <c r="P53" i="6"/>
  <c r="M53" i="20" s="1"/>
  <c r="P56" i="6"/>
  <c r="M56" i="20" s="1"/>
  <c r="P59" i="6"/>
  <c r="M38" i="20"/>
  <c r="P63" i="20"/>
  <c r="P64" i="20"/>
  <c r="AA17" i="6"/>
  <c r="AA7" i="6"/>
  <c r="AB20" i="6"/>
  <c r="AA8" i="6"/>
  <c r="AC20" i="6"/>
  <c r="J66" i="6"/>
  <c r="I65" i="20"/>
  <c r="M63" i="6"/>
  <c r="K62" i="20"/>
  <c r="L62" i="20" s="1"/>
  <c r="L6" i="6"/>
  <c r="L14" i="6" s="1"/>
  <c r="L13" i="6"/>
  <c r="L9" i="6"/>
  <c r="Y69" i="6"/>
  <c r="S68" i="20"/>
  <c r="Z39" i="6"/>
  <c r="Z41" i="6"/>
  <c r="Z42" i="6" s="1"/>
  <c r="Z44" i="6"/>
  <c r="Z45" i="6" s="1"/>
  <c r="Z47" i="6"/>
  <c r="Z48" i="6" s="1"/>
  <c r="Z50" i="6"/>
  <c r="Z51" i="6" s="1"/>
  <c r="Z53" i="6"/>
  <c r="Z54" i="6" s="1"/>
  <c r="Z56" i="6"/>
  <c r="Z57" i="6" s="1"/>
  <c r="Z59" i="6"/>
  <c r="Z60" i="6" s="1"/>
  <c r="AF68" i="20"/>
  <c r="AF69" i="20" s="1"/>
  <c r="AF70" i="20"/>
  <c r="X63" i="20"/>
  <c r="X64" i="20"/>
  <c r="AB63" i="20"/>
  <c r="AB64" i="20"/>
  <c r="V40" i="20"/>
  <c r="AB51" i="6"/>
  <c r="U50" i="20"/>
  <c r="AN54" i="6"/>
  <c r="AC53" i="20"/>
  <c r="AN42" i="6"/>
  <c r="AC41" i="20"/>
  <c r="D60" i="6"/>
  <c r="C59" i="20"/>
  <c r="D37" i="6"/>
  <c r="X40" i="20"/>
  <c r="AE51" i="6"/>
  <c r="W50" i="20"/>
  <c r="S48" i="6"/>
  <c r="O47" i="20"/>
  <c r="P67" i="20"/>
  <c r="AM10" i="6"/>
  <c r="AM11" i="6"/>
  <c r="W39" i="6"/>
  <c r="W41" i="6"/>
  <c r="W42" i="6" s="1"/>
  <c r="W44" i="6"/>
  <c r="W45" i="6" s="1"/>
  <c r="W47" i="6"/>
  <c r="W48" i="6" s="1"/>
  <c r="W50" i="6"/>
  <c r="W51" i="6" s="1"/>
  <c r="W53" i="6"/>
  <c r="W54" i="6" s="1"/>
  <c r="W56" i="6"/>
  <c r="W57" i="6" s="1"/>
  <c r="W59" i="6"/>
  <c r="W60" i="6" s="1"/>
  <c r="F87" i="15"/>
  <c r="F91" i="15"/>
  <c r="D20" i="16"/>
  <c r="D22" i="16"/>
  <c r="B81" i="15"/>
  <c r="F88" i="15"/>
  <c r="E20" i="16"/>
  <c r="E22" i="16"/>
  <c r="E19" i="16"/>
  <c r="D21" i="16"/>
  <c r="C32" i="16"/>
  <c r="C36" i="16"/>
  <c r="F86" i="15"/>
  <c r="E21" i="16"/>
  <c r="J39" i="6"/>
  <c r="J44" i="6"/>
  <c r="J47" i="6"/>
  <c r="J50" i="6"/>
  <c r="J53" i="6"/>
  <c r="J56" i="6"/>
  <c r="J59" i="6"/>
  <c r="J41" i="6"/>
  <c r="I38" i="20"/>
  <c r="Z67" i="20"/>
  <c r="AQ57" i="6"/>
  <c r="AE56" i="20"/>
  <c r="F15" i="6"/>
  <c r="F13" i="6"/>
  <c r="O32" i="15"/>
  <c r="AD11" i="6"/>
  <c r="AD10" i="6"/>
  <c r="AK48" i="6"/>
  <c r="AA47" i="20"/>
  <c r="AH48" i="6"/>
  <c r="Y47" i="20"/>
  <c r="N64" i="20"/>
  <c r="N63" i="20"/>
  <c r="P74" i="6"/>
  <c r="Q74" i="6"/>
  <c r="P68" i="20"/>
  <c r="P69" i="20" s="1"/>
  <c r="P70" i="20"/>
  <c r="AA10" i="6"/>
  <c r="AA11" i="6"/>
  <c r="V66" i="6"/>
  <c r="Q65" i="20"/>
  <c r="D67" i="20"/>
  <c r="N41" i="6"/>
  <c r="N42" i="6" s="1"/>
  <c r="N39" i="6"/>
  <c r="N44" i="6"/>
  <c r="N45" i="6" s="1"/>
  <c r="N47" i="6"/>
  <c r="N48" i="6" s="1"/>
  <c r="N50" i="6"/>
  <c r="N51" i="6" s="1"/>
  <c r="N53" i="6"/>
  <c r="N54" i="6" s="1"/>
  <c r="N56" i="6"/>
  <c r="N57" i="6" s="1"/>
  <c r="Y63" i="6"/>
  <c r="S62" i="20"/>
  <c r="T62" i="20" s="1"/>
  <c r="Y41" i="6"/>
  <c r="Y44" i="6"/>
  <c r="Y47" i="6"/>
  <c r="Y50" i="6"/>
  <c r="Y53" i="6"/>
  <c r="Y56" i="6"/>
  <c r="Y39" i="6"/>
  <c r="Y59" i="6"/>
  <c r="S38" i="20"/>
  <c r="AJ17" i="6"/>
  <c r="AK20" i="6"/>
  <c r="AJ7" i="6"/>
  <c r="AL20" i="6"/>
  <c r="AJ8" i="6"/>
  <c r="AB60" i="6"/>
  <c r="U59" i="20"/>
  <c r="AB48" i="6"/>
  <c r="U47" i="20"/>
  <c r="AD40" i="20"/>
  <c r="AN51" i="6"/>
  <c r="AC50" i="20"/>
  <c r="V64" i="20"/>
  <c r="V63" i="20"/>
  <c r="D57" i="6"/>
  <c r="C56" i="20"/>
  <c r="D42" i="6"/>
  <c r="C41" i="20"/>
  <c r="AE60" i="6"/>
  <c r="W59" i="20"/>
  <c r="AE48" i="6"/>
  <c r="W47" i="20"/>
  <c r="X68" i="20"/>
  <c r="X69" i="20" s="1"/>
  <c r="X70" i="20"/>
  <c r="P40" i="20"/>
  <c r="S57" i="6"/>
  <c r="O56" i="20"/>
  <c r="S45" i="6"/>
  <c r="O44" i="20"/>
  <c r="V67" i="20"/>
  <c r="AF67" i="20"/>
  <c r="V39" i="6"/>
  <c r="V44" i="6"/>
  <c r="V47" i="6"/>
  <c r="V50" i="6"/>
  <c r="V53" i="6"/>
  <c r="V56" i="6"/>
  <c r="V59" i="6"/>
  <c r="V41" i="6"/>
  <c r="Q38" i="20"/>
  <c r="J63" i="6"/>
  <c r="I62" i="20"/>
  <c r="J62" i="20" s="1"/>
  <c r="K69" i="6"/>
  <c r="K70" i="6"/>
  <c r="I13" i="6"/>
  <c r="I9" i="6"/>
  <c r="I6" i="6"/>
  <c r="I14" i="6" s="1"/>
  <c r="AQ60" i="6"/>
  <c r="AE59" i="20"/>
  <c r="AQ45" i="6"/>
  <c r="AE44" i="20"/>
  <c r="R8" i="6"/>
  <c r="S20" i="6"/>
  <c r="T20" i="6"/>
  <c r="R17" i="6"/>
  <c r="R7" i="6"/>
  <c r="AF40" i="20"/>
  <c r="AQ54" i="6"/>
  <c r="AE53" i="20"/>
  <c r="AQ42" i="6"/>
  <c r="AE41" i="20"/>
  <c r="I19" i="6"/>
  <c r="U19" i="6"/>
  <c r="AG19" i="6"/>
  <c r="D20" i="6"/>
  <c r="L19" i="6"/>
  <c r="X19" i="6"/>
  <c r="AJ19" i="6"/>
  <c r="E20" i="6"/>
  <c r="C17" i="6"/>
  <c r="O19" i="6"/>
  <c r="AA19" i="6"/>
  <c r="AM19" i="6"/>
  <c r="C23" i="6"/>
  <c r="C7" i="6"/>
  <c r="C24" i="6" s="1"/>
  <c r="C19" i="6"/>
  <c r="R19" i="6"/>
  <c r="AD19" i="6"/>
  <c r="AP19" i="6"/>
  <c r="D52" i="20"/>
  <c r="D50" i="20"/>
  <c r="D51" i="20" s="1"/>
  <c r="AD14" i="6"/>
  <c r="AK57" i="6"/>
  <c r="AA56" i="20"/>
  <c r="AK45" i="6"/>
  <c r="AA44" i="20"/>
  <c r="R11" i="6"/>
  <c r="R10" i="6"/>
  <c r="AH63" i="6"/>
  <c r="Y62" i="20"/>
  <c r="Z62" i="20" s="1"/>
  <c r="P70" i="6"/>
  <c r="P69" i="6"/>
  <c r="M68" i="20"/>
  <c r="O9" i="6"/>
  <c r="O6" i="6"/>
  <c r="O13" i="6"/>
  <c r="AP8" i="6"/>
  <c r="AQ20" i="6"/>
  <c r="AR20" i="6"/>
  <c r="AP17" i="6"/>
  <c r="AP7" i="6"/>
  <c r="AA14" i="6"/>
  <c r="V70" i="20"/>
  <c r="V68" i="20"/>
  <c r="V69" i="20" s="1"/>
  <c r="M41" i="6"/>
  <c r="M44" i="6"/>
  <c r="M47" i="6"/>
  <c r="M50" i="6"/>
  <c r="M53" i="6"/>
  <c r="M56" i="6"/>
  <c r="M39" i="6"/>
  <c r="M59" i="6"/>
  <c r="K38" i="20"/>
  <c r="AF63" i="20"/>
  <c r="AF64" i="20"/>
  <c r="AJ10" i="6"/>
  <c r="AJ11" i="6"/>
  <c r="AB68" i="20"/>
  <c r="AB69" i="20" s="1"/>
  <c r="AB70" i="20"/>
  <c r="AB57" i="6"/>
  <c r="U56" i="20"/>
  <c r="AB45" i="6"/>
  <c r="U44" i="20"/>
  <c r="AN60" i="6"/>
  <c r="AC59" i="20"/>
  <c r="AN48" i="6"/>
  <c r="AC47" i="20"/>
  <c r="D54" i="6"/>
  <c r="C53" i="20"/>
  <c r="D49" i="20"/>
  <c r="D47" i="20"/>
  <c r="D48" i="20" s="1"/>
  <c r="AE57" i="6"/>
  <c r="W56" i="20"/>
  <c r="AE45" i="6"/>
  <c r="W44" i="20"/>
  <c r="S60" i="6"/>
  <c r="O59" i="20"/>
  <c r="S54" i="6"/>
  <c r="O53" i="20"/>
  <c r="AD64" i="20"/>
  <c r="AD63" i="20"/>
  <c r="V63" i="6"/>
  <c r="Q62" i="20"/>
  <c r="R62" i="20" s="1"/>
  <c r="V69" i="6"/>
  <c r="Q68" i="20"/>
  <c r="U13" i="6"/>
  <c r="U9" i="6"/>
  <c r="U6" i="6"/>
  <c r="U14" i="6" s="1"/>
  <c r="K39" i="6"/>
  <c r="K41" i="6"/>
  <c r="K42" i="6" s="1"/>
  <c r="K44" i="6"/>
  <c r="K45" i="6" s="1"/>
  <c r="K47" i="6"/>
  <c r="K48" i="6" s="1"/>
  <c r="K50" i="6"/>
  <c r="K51" i="6" s="1"/>
  <c r="K53" i="6"/>
  <c r="K54" i="6" s="1"/>
  <c r="K59" i="6"/>
  <c r="K60" i="6" s="1"/>
  <c r="T67" i="20"/>
  <c r="AQ51" i="6"/>
  <c r="AE50" i="20"/>
  <c r="C11" i="6"/>
  <c r="C10" i="6"/>
  <c r="F10" i="6" s="1"/>
  <c r="AK54" i="6"/>
  <c r="AA53" i="20"/>
  <c r="R14" i="6"/>
  <c r="AH39" i="6"/>
  <c r="AH41" i="6"/>
  <c r="AH44" i="6"/>
  <c r="AH53" i="6"/>
  <c r="AH56" i="6"/>
  <c r="AH59" i="6"/>
  <c r="Y38" i="20"/>
  <c r="Q39" i="6"/>
  <c r="Q41" i="6"/>
  <c r="Q42" i="6" s="1"/>
  <c r="Q44" i="6"/>
  <c r="Q47" i="6"/>
  <c r="Q50" i="6"/>
  <c r="Q53" i="6"/>
  <c r="Q56" i="6"/>
  <c r="Q59" i="6"/>
  <c r="Q60" i="6" s="1"/>
  <c r="X67" i="20"/>
  <c r="AP11" i="6"/>
  <c r="AP10" i="6"/>
  <c r="D64" i="20"/>
  <c r="D62" i="20"/>
  <c r="AD70" i="20"/>
  <c r="AD68" i="20"/>
  <c r="AD69" i="20" s="1"/>
  <c r="M69" i="6"/>
  <c r="M70" i="6"/>
  <c r="K68" i="20"/>
  <c r="N69" i="6"/>
  <c r="N70" i="6"/>
  <c r="M74" i="6"/>
  <c r="N74" i="6"/>
  <c r="X6" i="6"/>
  <c r="X14" i="6" s="1"/>
  <c r="X13" i="6"/>
  <c r="X9" i="6"/>
  <c r="AB54" i="6"/>
  <c r="U53" i="20"/>
  <c r="AB42" i="6"/>
  <c r="U41" i="20"/>
  <c r="AN57" i="6"/>
  <c r="AC56" i="20"/>
  <c r="AN45" i="6"/>
  <c r="AC44" i="20"/>
  <c r="AD67" i="20"/>
  <c r="D40" i="20"/>
  <c r="D45" i="6"/>
  <c r="C44" i="20"/>
  <c r="AE54" i="6"/>
  <c r="W53" i="20"/>
  <c r="AE42" i="6"/>
  <c r="W41" i="20"/>
  <c r="S42" i="6"/>
  <c r="O41" i="20"/>
  <c r="S51" i="6"/>
  <c r="O50" i="20"/>
  <c r="AB67" i="20"/>
  <c r="AM17" i="6"/>
  <c r="AM7" i="6"/>
  <c r="AN20" i="6"/>
  <c r="AM8" i="6"/>
  <c r="AO20" i="6"/>
  <c r="J69" i="6"/>
  <c r="J70" i="6"/>
  <c r="I68" i="20"/>
  <c r="J74" i="6"/>
  <c r="K74" i="6"/>
  <c r="D19" i="16" l="1"/>
  <c r="D18" i="16" s="1"/>
  <c r="C8" i="6"/>
  <c r="P50" i="20"/>
  <c r="P51" i="20" s="1"/>
  <c r="P52" i="20"/>
  <c r="J68" i="20"/>
  <c r="J69" i="20" s="1"/>
  <c r="J70" i="20"/>
  <c r="P43" i="20"/>
  <c r="P42" i="20"/>
  <c r="X55" i="20"/>
  <c r="X53" i="20"/>
  <c r="X54" i="20" s="1"/>
  <c r="AD45" i="20"/>
  <c r="AD46" i="20"/>
  <c r="V42" i="20"/>
  <c r="V43" i="20"/>
  <c r="AN21" i="6"/>
  <c r="AN22" i="6"/>
  <c r="Z40" i="20"/>
  <c r="AH45" i="6"/>
  <c r="Y44" i="20"/>
  <c r="AB53" i="20"/>
  <c r="AB54" i="20" s="1"/>
  <c r="AB55" i="20"/>
  <c r="AF50" i="20"/>
  <c r="AF51" i="20" s="1"/>
  <c r="AF52" i="20"/>
  <c r="U10" i="6"/>
  <c r="U11" i="6"/>
  <c r="D55" i="20"/>
  <c r="D53" i="20"/>
  <c r="D54" i="20" s="1"/>
  <c r="AD59" i="20"/>
  <c r="AD60" i="20" s="1"/>
  <c r="AD61" i="20"/>
  <c r="V56" i="20"/>
  <c r="V57" i="20" s="1"/>
  <c r="V58" i="20"/>
  <c r="M57" i="6"/>
  <c r="K56" i="20"/>
  <c r="M45" i="6"/>
  <c r="K44" i="20"/>
  <c r="AR22" i="6"/>
  <c r="AR21" i="6"/>
  <c r="AB56" i="20"/>
  <c r="AB57" i="20" s="1"/>
  <c r="AB58" i="20"/>
  <c r="E22" i="6"/>
  <c r="E21" i="6"/>
  <c r="D22" i="6"/>
  <c r="D21" i="6"/>
  <c r="AF43" i="20"/>
  <c r="AF42" i="20"/>
  <c r="T22" i="6"/>
  <c r="T21" i="6"/>
  <c r="AF46" i="20"/>
  <c r="AF45" i="20"/>
  <c r="I7" i="6"/>
  <c r="I8" i="6"/>
  <c r="J20" i="6"/>
  <c r="I17" i="6"/>
  <c r="K20" i="6"/>
  <c r="R40" i="20"/>
  <c r="V54" i="6"/>
  <c r="Q53" i="20"/>
  <c r="X59" i="20"/>
  <c r="X60" i="20" s="1"/>
  <c r="X61" i="20"/>
  <c r="D58" i="20"/>
  <c r="D56" i="20"/>
  <c r="D57" i="20" s="1"/>
  <c r="AD50" i="20"/>
  <c r="AD51" i="20" s="1"/>
  <c r="AD52" i="20"/>
  <c r="V47" i="20"/>
  <c r="V48" i="20" s="1"/>
  <c r="V49" i="20"/>
  <c r="Y57" i="6"/>
  <c r="S56" i="20"/>
  <c r="Y45" i="6"/>
  <c r="S44" i="20"/>
  <c r="Z47" i="20"/>
  <c r="Z48" i="20" s="1"/>
  <c r="Z49" i="20"/>
  <c r="J57" i="6"/>
  <c r="I56" i="20"/>
  <c r="J45" i="6"/>
  <c r="I44" i="20"/>
  <c r="P47" i="20"/>
  <c r="P48" i="20" s="1"/>
  <c r="P49" i="20"/>
  <c r="T68" i="20"/>
  <c r="T69" i="20" s="1"/>
  <c r="T70" i="20"/>
  <c r="J67" i="20"/>
  <c r="AB21" i="6"/>
  <c r="AB22" i="6"/>
  <c r="N53" i="20"/>
  <c r="N54" i="20" s="1"/>
  <c r="N55" i="20"/>
  <c r="P42" i="6"/>
  <c r="M41" i="20"/>
  <c r="AG7" i="6"/>
  <c r="AG8" i="6"/>
  <c r="AH20" i="6"/>
  <c r="AG17" i="6"/>
  <c r="AI20" i="6"/>
  <c r="Z50" i="20"/>
  <c r="Z51" i="20" s="1"/>
  <c r="Z52" i="20"/>
  <c r="AB59" i="20"/>
  <c r="AB60" i="20" s="1"/>
  <c r="AB61" i="20"/>
  <c r="AF22" i="6"/>
  <c r="AF21" i="6"/>
  <c r="D69" i="20"/>
  <c r="AB42" i="20"/>
  <c r="AB43" i="20"/>
  <c r="D46" i="20"/>
  <c r="D44" i="20"/>
  <c r="D45" i="20" s="1"/>
  <c r="V53" i="20"/>
  <c r="V54" i="20" s="1"/>
  <c r="V55" i="20"/>
  <c r="B80" i="20"/>
  <c r="AH60" i="6"/>
  <c r="Y59" i="20"/>
  <c r="AH42" i="6"/>
  <c r="Y41" i="20"/>
  <c r="R63" i="20"/>
  <c r="R64" i="20"/>
  <c r="P55" i="20"/>
  <c r="P53" i="20"/>
  <c r="P54" i="20" s="1"/>
  <c r="X46" i="20"/>
  <c r="X45" i="20"/>
  <c r="L40" i="20"/>
  <c r="M54" i="6"/>
  <c r="K53" i="20"/>
  <c r="M42" i="6"/>
  <c r="K41" i="20"/>
  <c r="AQ22" i="6"/>
  <c r="AQ21" i="6"/>
  <c r="O17" i="6"/>
  <c r="O7" i="6"/>
  <c r="P20" i="6"/>
  <c r="O8" i="6"/>
  <c r="Q20" i="6"/>
  <c r="S22" i="6"/>
  <c r="S21" i="6"/>
  <c r="I10" i="6"/>
  <c r="I11" i="6"/>
  <c r="V42" i="6"/>
  <c r="Q41" i="20"/>
  <c r="V51" i="6"/>
  <c r="Q50" i="20"/>
  <c r="P46" i="20"/>
  <c r="P45" i="20"/>
  <c r="AL22" i="6"/>
  <c r="AL21" i="6"/>
  <c r="T40" i="20"/>
  <c r="Y54" i="6"/>
  <c r="S53" i="20"/>
  <c r="Y42" i="6"/>
  <c r="S41" i="20"/>
  <c r="R67" i="20"/>
  <c r="AF58" i="20"/>
  <c r="AF56" i="20"/>
  <c r="AF57" i="20" s="1"/>
  <c r="J40" i="20"/>
  <c r="J54" i="6"/>
  <c r="I53" i="20"/>
  <c r="AD42" i="20"/>
  <c r="AD43" i="20"/>
  <c r="V50" i="20"/>
  <c r="V51" i="20" s="1"/>
  <c r="V52" i="20"/>
  <c r="L17" i="6"/>
  <c r="M20" i="6"/>
  <c r="L7" i="6"/>
  <c r="N20" i="6"/>
  <c r="L8" i="6"/>
  <c r="N40" i="20"/>
  <c r="N50" i="20"/>
  <c r="N51" i="20" s="1"/>
  <c r="N52" i="20"/>
  <c r="AG10" i="6"/>
  <c r="AG11" i="6"/>
  <c r="AE22" i="6"/>
  <c r="AE21" i="6"/>
  <c r="X43" i="20"/>
  <c r="X42" i="20"/>
  <c r="AD56" i="20"/>
  <c r="AD57" i="20" s="1"/>
  <c r="AD58" i="20"/>
  <c r="AO21" i="6"/>
  <c r="AO22" i="6"/>
  <c r="X17" i="6"/>
  <c r="Y20" i="6"/>
  <c r="X7" i="6"/>
  <c r="Z20" i="6"/>
  <c r="X8" i="6"/>
  <c r="AH57" i="6"/>
  <c r="Y56" i="20"/>
  <c r="AD47" i="20"/>
  <c r="AD48" i="20" s="1"/>
  <c r="AD49" i="20"/>
  <c r="V45" i="20"/>
  <c r="V46" i="20"/>
  <c r="M60" i="6"/>
  <c r="K59" i="20"/>
  <c r="M51" i="6"/>
  <c r="K50" i="20"/>
  <c r="O10" i="6"/>
  <c r="O11" i="6"/>
  <c r="Z63" i="20"/>
  <c r="Z64" i="20"/>
  <c r="AB45" i="20"/>
  <c r="AB46" i="20"/>
  <c r="AF55" i="20"/>
  <c r="AF53" i="20"/>
  <c r="AF54" i="20" s="1"/>
  <c r="AF59" i="20"/>
  <c r="AF60" i="20" s="1"/>
  <c r="AF61" i="20"/>
  <c r="J64" i="20"/>
  <c r="J63" i="20"/>
  <c r="V60" i="6"/>
  <c r="Q59" i="20"/>
  <c r="V48" i="6"/>
  <c r="Q47" i="20"/>
  <c r="X47" i="20"/>
  <c r="X48" i="20" s="1"/>
  <c r="X49" i="20"/>
  <c r="D43" i="20"/>
  <c r="D41" i="20"/>
  <c r="D42" i="20" s="1"/>
  <c r="V59" i="20"/>
  <c r="V60" i="20" s="1"/>
  <c r="V61" i="20"/>
  <c r="Y60" i="6"/>
  <c r="S59" i="20"/>
  <c r="Y51" i="6"/>
  <c r="S50" i="20"/>
  <c r="T64" i="20"/>
  <c r="T63" i="20"/>
  <c r="AB47" i="20"/>
  <c r="AB48" i="20" s="1"/>
  <c r="AB49" i="20"/>
  <c r="R32" i="15"/>
  <c r="V32" i="15"/>
  <c r="J42" i="6"/>
  <c r="I41" i="20"/>
  <c r="J51" i="6"/>
  <c r="I50" i="20"/>
  <c r="X50" i="20"/>
  <c r="X51" i="20" s="1"/>
  <c r="X52" i="20"/>
  <c r="L10" i="6"/>
  <c r="L11" i="6"/>
  <c r="L64" i="20"/>
  <c r="L63" i="20"/>
  <c r="AC21" i="6"/>
  <c r="AC22" i="6"/>
  <c r="P60" i="6"/>
  <c r="M59" i="20"/>
  <c r="N47" i="20"/>
  <c r="N48" i="20" s="1"/>
  <c r="N49" i="20"/>
  <c r="Z68" i="20"/>
  <c r="Z69" i="20" s="1"/>
  <c r="Z70" i="20"/>
  <c r="AB50" i="20"/>
  <c r="AB51" i="20" s="1"/>
  <c r="AB52" i="20"/>
  <c r="AF47" i="20"/>
  <c r="AF49" i="20"/>
  <c r="X10" i="6"/>
  <c r="X11" i="6"/>
  <c r="L68" i="20"/>
  <c r="L69" i="20" s="1"/>
  <c r="L70" i="20"/>
  <c r="D63" i="20"/>
  <c r="AH54" i="6"/>
  <c r="Y53" i="20"/>
  <c r="U7" i="6"/>
  <c r="U8" i="6"/>
  <c r="V20" i="6"/>
  <c r="U17" i="6"/>
  <c r="W20" i="6"/>
  <c r="R68" i="20"/>
  <c r="R69" i="20" s="1"/>
  <c r="R70" i="20"/>
  <c r="P59" i="20"/>
  <c r="P60" i="20" s="1"/>
  <c r="P61" i="20"/>
  <c r="X58" i="20"/>
  <c r="X56" i="20"/>
  <c r="X57" i="20" s="1"/>
  <c r="M48" i="6"/>
  <c r="K47" i="20"/>
  <c r="O14" i="6"/>
  <c r="N70" i="20"/>
  <c r="N68" i="20"/>
  <c r="N69" i="20" s="1"/>
  <c r="V57" i="6"/>
  <c r="Q56" i="20"/>
  <c r="V45" i="6"/>
  <c r="Q44" i="20"/>
  <c r="P58" i="20"/>
  <c r="P56" i="20"/>
  <c r="P57" i="20" s="1"/>
  <c r="AK22" i="6"/>
  <c r="AK21" i="6"/>
  <c r="Y48" i="6"/>
  <c r="S47" i="20"/>
  <c r="J60" i="6"/>
  <c r="I59" i="20"/>
  <c r="J48" i="6"/>
  <c r="I47" i="20"/>
  <c r="D5" i="16"/>
  <c r="D6" i="16" s="1"/>
  <c r="C33" i="16" s="1"/>
  <c r="C28" i="16"/>
  <c r="D61" i="20"/>
  <c r="D59" i="20"/>
  <c r="D60" i="20" s="1"/>
  <c r="AD53" i="20"/>
  <c r="AD54" i="20" s="1"/>
  <c r="AD55" i="20"/>
  <c r="N56" i="20"/>
  <c r="N57" i="20" s="1"/>
  <c r="N58" i="20"/>
  <c r="N45" i="20"/>
  <c r="N46" i="20"/>
  <c r="AF38" i="20" l="1"/>
  <c r="AF39" i="20" s="1"/>
  <c r="C29" i="16"/>
  <c r="C30" i="16"/>
  <c r="J59" i="20"/>
  <c r="J60" i="20" s="1"/>
  <c r="J61" i="20"/>
  <c r="W21" i="6"/>
  <c r="W22" i="6"/>
  <c r="J50" i="20"/>
  <c r="J51" i="20" s="1"/>
  <c r="J52" i="20"/>
  <c r="AB38" i="20"/>
  <c r="R47" i="20"/>
  <c r="R48" i="20" s="1"/>
  <c r="R49" i="20"/>
  <c r="L59" i="20"/>
  <c r="L60" i="20" s="1"/>
  <c r="L61" i="20"/>
  <c r="Y22" i="6"/>
  <c r="Y21" i="6"/>
  <c r="T53" i="20"/>
  <c r="T54" i="20" s="1"/>
  <c r="T55" i="20"/>
  <c r="R50" i="20"/>
  <c r="R51" i="20" s="1"/>
  <c r="R52" i="20"/>
  <c r="Q21" i="6"/>
  <c r="Q22" i="6"/>
  <c r="Z42" i="20"/>
  <c r="Z43" i="20"/>
  <c r="N42" i="20"/>
  <c r="N43" i="20"/>
  <c r="T56" i="20"/>
  <c r="T57" i="20" s="1"/>
  <c r="T58" i="20"/>
  <c r="V38" i="20"/>
  <c r="J21" i="6"/>
  <c r="J22" i="6"/>
  <c r="L56" i="20"/>
  <c r="L57" i="20" s="1"/>
  <c r="L58" i="20"/>
  <c r="Z53" i="20"/>
  <c r="Z54" i="20" s="1"/>
  <c r="Z55" i="20"/>
  <c r="AF48" i="20"/>
  <c r="N59" i="20"/>
  <c r="N38" i="20" s="1"/>
  <c r="N61" i="20"/>
  <c r="R31" i="15"/>
  <c r="S37" i="15" s="1"/>
  <c r="S32" i="15"/>
  <c r="T59" i="20"/>
  <c r="T60" i="20" s="1"/>
  <c r="T61" i="20"/>
  <c r="M22" i="6"/>
  <c r="M21" i="6"/>
  <c r="J53" i="20"/>
  <c r="J54" i="20" s="1"/>
  <c r="J55" i="20"/>
  <c r="L53" i="20"/>
  <c r="L54" i="20" s="1"/>
  <c r="L55" i="20"/>
  <c r="AH21" i="6"/>
  <c r="AH22" i="6"/>
  <c r="J56" i="20"/>
  <c r="J57" i="20" s="1"/>
  <c r="J58" i="20"/>
  <c r="R56" i="20"/>
  <c r="R57" i="20" s="1"/>
  <c r="R58" i="20"/>
  <c r="R45" i="20"/>
  <c r="R46" i="20"/>
  <c r="L47" i="20"/>
  <c r="L48" i="20" s="1"/>
  <c r="L49" i="20"/>
  <c r="J47" i="20"/>
  <c r="J49" i="20"/>
  <c r="T47" i="20"/>
  <c r="T48" i="20" s="1"/>
  <c r="T49" i="20"/>
  <c r="V21" i="6"/>
  <c r="V22" i="6"/>
  <c r="J42" i="20"/>
  <c r="J43" i="20"/>
  <c r="R59" i="20"/>
  <c r="R60" i="20" s="1"/>
  <c r="R61" i="20"/>
  <c r="L50" i="20"/>
  <c r="L51" i="20" s="1"/>
  <c r="L52" i="20"/>
  <c r="AD38" i="20"/>
  <c r="Z22" i="6"/>
  <c r="Z21" i="6"/>
  <c r="T42" i="20"/>
  <c r="T43" i="20"/>
  <c r="R42" i="20"/>
  <c r="R43" i="20"/>
  <c r="P21" i="6"/>
  <c r="P22" i="6"/>
  <c r="Z59" i="20"/>
  <c r="Z60" i="20" s="1"/>
  <c r="Z61" i="20"/>
  <c r="P38" i="20"/>
  <c r="T45" i="20"/>
  <c r="T46" i="20"/>
  <c r="R53" i="20"/>
  <c r="R54" i="20" s="1"/>
  <c r="R55" i="20"/>
  <c r="K21" i="6"/>
  <c r="K22" i="6"/>
  <c r="L45" i="20"/>
  <c r="L46" i="20"/>
  <c r="T50" i="20"/>
  <c r="T51" i="20" s="1"/>
  <c r="T52" i="20"/>
  <c r="D38" i="20"/>
  <c r="X38" i="20"/>
  <c r="Z56" i="20"/>
  <c r="Z58" i="20"/>
  <c r="N22" i="6"/>
  <c r="N21" i="6"/>
  <c r="L42" i="20"/>
  <c r="L43" i="20"/>
  <c r="AI21" i="6"/>
  <c r="AI22" i="6"/>
  <c r="J45" i="20"/>
  <c r="J46" i="20"/>
  <c r="Z45" i="20"/>
  <c r="Z46" i="20"/>
  <c r="AF65" i="20" l="1"/>
  <c r="AF66" i="20" s="1"/>
  <c r="Z38" i="20"/>
  <c r="Z39" i="20" s="1"/>
  <c r="J38" i="20"/>
  <c r="J39" i="20" s="1"/>
  <c r="Z57" i="20"/>
  <c r="N60" i="20"/>
  <c r="N65" i="20"/>
  <c r="N66" i="20" s="1"/>
  <c r="N39" i="20"/>
  <c r="A80" i="20"/>
  <c r="D39" i="20"/>
  <c r="D65" i="20"/>
  <c r="D35" i="20" s="1"/>
  <c r="P65" i="20"/>
  <c r="P66" i="20" s="1"/>
  <c r="P39" i="20"/>
  <c r="AD65" i="20"/>
  <c r="AD66" i="20" s="1"/>
  <c r="AD39" i="20"/>
  <c r="J65" i="20"/>
  <c r="J66" i="20" s="1"/>
  <c r="V65" i="20"/>
  <c r="V66" i="20" s="1"/>
  <c r="V39" i="20"/>
  <c r="AB65" i="20"/>
  <c r="AB66" i="20" s="1"/>
  <c r="AB39" i="20"/>
  <c r="T38" i="20"/>
  <c r="AF35" i="20"/>
  <c r="W32" i="15"/>
  <c r="S31" i="15"/>
  <c r="X65" i="20"/>
  <c r="X66" i="20" s="1"/>
  <c r="X39" i="20"/>
  <c r="J48" i="20"/>
  <c r="L38" i="20"/>
  <c r="S36" i="15"/>
  <c r="W37" i="15"/>
  <c r="R38" i="20"/>
  <c r="Z65" i="20" l="1"/>
  <c r="Z66" i="20" s="1"/>
  <c r="AB35" i="20"/>
  <c r="N41" i="10" s="1"/>
  <c r="N47" i="10" s="1"/>
  <c r="N50" i="10" s="1"/>
  <c r="AB108" i="20" s="1"/>
  <c r="AB106" i="20" s="1"/>
  <c r="AB100" i="20" s="1"/>
  <c r="AB18" i="20" s="1"/>
  <c r="AB19" i="20" s="1"/>
  <c r="P35" i="20"/>
  <c r="P12" i="20" s="1"/>
  <c r="D36" i="20"/>
  <c r="D12" i="20"/>
  <c r="C42" i="10"/>
  <c r="C48" i="10" s="1"/>
  <c r="C51" i="10" s="1"/>
  <c r="D108" i="20" s="1"/>
  <c r="D76" i="20"/>
  <c r="D77" i="20" s="1"/>
  <c r="L65" i="20"/>
  <c r="L66" i="20" s="1"/>
  <c r="L39" i="20"/>
  <c r="W36" i="15"/>
  <c r="C50" i="16"/>
  <c r="F47" i="16" s="1"/>
  <c r="E47" i="16" s="1"/>
  <c r="D47" i="16" s="1"/>
  <c r="W31" i="15"/>
  <c r="C47" i="16"/>
  <c r="F50" i="16" s="1"/>
  <c r="E50" i="16" s="1"/>
  <c r="D50" i="16" s="1"/>
  <c r="V35" i="20"/>
  <c r="AF12" i="20"/>
  <c r="AF36" i="20"/>
  <c r="P41" i="10"/>
  <c r="P47" i="10" s="1"/>
  <c r="P50" i="10" s="1"/>
  <c r="AF108" i="20" s="1"/>
  <c r="AF106" i="20" s="1"/>
  <c r="AF100" i="20" s="1"/>
  <c r="AF18" i="20" s="1"/>
  <c r="AF19" i="20" s="1"/>
  <c r="X35" i="20"/>
  <c r="T65" i="20"/>
  <c r="T66" i="20" s="1"/>
  <c r="T39" i="20"/>
  <c r="AD35" i="20"/>
  <c r="C80" i="20"/>
  <c r="D66" i="20"/>
  <c r="R65" i="20"/>
  <c r="R66" i="20" s="1"/>
  <c r="R39" i="20"/>
  <c r="S6" i="15"/>
  <c r="J35" i="20"/>
  <c r="N35" i="20"/>
  <c r="H41" i="10" l="1"/>
  <c r="H47" i="10" s="1"/>
  <c r="H50" i="10" s="1"/>
  <c r="P108" i="20" s="1"/>
  <c r="P106" i="20" s="1"/>
  <c r="P100" i="20" s="1"/>
  <c r="P18" i="20" s="1"/>
  <c r="P19" i="20" s="1"/>
  <c r="Z35" i="20"/>
  <c r="Z36" i="20" s="1"/>
  <c r="AB36" i="20"/>
  <c r="AB12" i="20"/>
  <c r="AB9" i="20" s="1"/>
  <c r="AB10" i="20" s="1"/>
  <c r="P36" i="20"/>
  <c r="T35" i="20"/>
  <c r="T36" i="20" s="1"/>
  <c r="W6" i="15"/>
  <c r="P9" i="20"/>
  <c r="P10" i="20" s="1"/>
  <c r="P13" i="20"/>
  <c r="V12" i="20"/>
  <c r="V36" i="20"/>
  <c r="K41" i="10"/>
  <c r="K47" i="10" s="1"/>
  <c r="K50" i="10" s="1"/>
  <c r="V108" i="20" s="1"/>
  <c r="V106" i="20" s="1"/>
  <c r="V100" i="20" s="1"/>
  <c r="V18" i="20" s="1"/>
  <c r="V19" i="20" s="1"/>
  <c r="AD12" i="20"/>
  <c r="AD36" i="20"/>
  <c r="O41" i="10"/>
  <c r="O47" i="10" s="1"/>
  <c r="O50" i="10" s="1"/>
  <c r="AD108" i="20" s="1"/>
  <c r="AD106" i="20" s="1"/>
  <c r="AD100" i="20" s="1"/>
  <c r="AD18" i="20" s="1"/>
  <c r="AD19" i="20" s="1"/>
  <c r="X12" i="20"/>
  <c r="X36" i="20"/>
  <c r="L41" i="10"/>
  <c r="L47" i="10" s="1"/>
  <c r="L50" i="10" s="1"/>
  <c r="X108" i="20" s="1"/>
  <c r="X106" i="20" s="1"/>
  <c r="X100" i="20" s="1"/>
  <c r="X18" i="20" s="1"/>
  <c r="X19" i="20" s="1"/>
  <c r="Q32" i="15"/>
  <c r="D106" i="20"/>
  <c r="N12" i="20"/>
  <c r="N36" i="20"/>
  <c r="G41" i="10"/>
  <c r="G47" i="10" s="1"/>
  <c r="G50" i="10" s="1"/>
  <c r="N108" i="20" s="1"/>
  <c r="N106" i="20" s="1"/>
  <c r="N100" i="20" s="1"/>
  <c r="N18" i="20" s="1"/>
  <c r="N19" i="20" s="1"/>
  <c r="AF6" i="20"/>
  <c r="AF9" i="20"/>
  <c r="AF10" i="20" s="1"/>
  <c r="AF13" i="20"/>
  <c r="B27" i="20"/>
  <c r="D13" i="20"/>
  <c r="D14" i="20" s="1"/>
  <c r="D9" i="20"/>
  <c r="J12" i="20"/>
  <c r="J36" i="20"/>
  <c r="E42" i="10"/>
  <c r="E48" i="10" s="1"/>
  <c r="E51" i="10" s="1"/>
  <c r="J108" i="20" s="1"/>
  <c r="J106" i="20" s="1"/>
  <c r="J100" i="20" s="1"/>
  <c r="J18" i="20" s="1"/>
  <c r="J19" i="20" s="1"/>
  <c r="R35" i="20"/>
  <c r="Z12" i="20"/>
  <c r="L35" i="20"/>
  <c r="M41" i="10" l="1"/>
  <c r="M47" i="10" s="1"/>
  <c r="M50" i="10" s="1"/>
  <c r="Z108" i="20" s="1"/>
  <c r="Z106" i="20" s="1"/>
  <c r="Z100" i="20" s="1"/>
  <c r="Z18" i="20" s="1"/>
  <c r="Z19" i="20" s="1"/>
  <c r="P6" i="20"/>
  <c r="P7" i="20" s="1"/>
  <c r="AB6" i="20"/>
  <c r="AB23" i="20" s="1"/>
  <c r="AB24" i="20" s="1"/>
  <c r="AB13" i="20"/>
  <c r="T12" i="20"/>
  <c r="T9" i="20" s="1"/>
  <c r="T10" i="20" s="1"/>
  <c r="J41" i="10"/>
  <c r="J47" i="10" s="1"/>
  <c r="J50" i="10" s="1"/>
  <c r="T108" i="20" s="1"/>
  <c r="T106" i="20" s="1"/>
  <c r="T100" i="20" s="1"/>
  <c r="T18" i="20" s="1"/>
  <c r="T19" i="20" s="1"/>
  <c r="Q31" i="15"/>
  <c r="X32" i="15"/>
  <c r="Z9" i="20"/>
  <c r="Z10" i="20" s="1"/>
  <c r="Z13" i="20"/>
  <c r="V13" i="20"/>
  <c r="V6" i="20"/>
  <c r="V9" i="20"/>
  <c r="V10" i="20" s="1"/>
  <c r="N13" i="20"/>
  <c r="N6" i="20"/>
  <c r="N9" i="20"/>
  <c r="N10" i="20" s="1"/>
  <c r="AD13" i="20"/>
  <c r="AD6" i="20"/>
  <c r="AD9" i="20"/>
  <c r="AD10" i="20" s="1"/>
  <c r="R12" i="20"/>
  <c r="R36" i="20"/>
  <c r="I41" i="10"/>
  <c r="I47" i="10" s="1"/>
  <c r="I50" i="10" s="1"/>
  <c r="R108" i="20" s="1"/>
  <c r="R106" i="20" s="1"/>
  <c r="R100" i="20" s="1"/>
  <c r="R18" i="20" s="1"/>
  <c r="R19" i="20" s="1"/>
  <c r="D10" i="20"/>
  <c r="D11" i="20" s="1"/>
  <c r="L12" i="20"/>
  <c r="L36" i="20"/>
  <c r="F42" i="10"/>
  <c r="F48" i="10" s="1"/>
  <c r="F51" i="10" s="1"/>
  <c r="L108" i="20" s="1"/>
  <c r="L106" i="20" s="1"/>
  <c r="L100" i="20" s="1"/>
  <c r="L18" i="20" s="1"/>
  <c r="L19" i="20" s="1"/>
  <c r="J6" i="20"/>
  <c r="J9" i="20"/>
  <c r="J10" i="20" s="1"/>
  <c r="J13" i="20"/>
  <c r="AF7" i="20"/>
  <c r="AF23" i="20"/>
  <c r="AF24" i="20" s="1"/>
  <c r="D100" i="20"/>
  <c r="F95" i="15"/>
  <c r="E23" i="16"/>
  <c r="D10" i="16" s="1"/>
  <c r="X6" i="20"/>
  <c r="X9" i="20"/>
  <c r="X10" i="20" s="1"/>
  <c r="X13" i="20"/>
  <c r="Z6" i="20" l="1"/>
  <c r="Z23" i="20" s="1"/>
  <c r="Z24" i="20" s="1"/>
  <c r="AB7" i="20"/>
  <c r="P23" i="20"/>
  <c r="P24" i="20" s="1"/>
  <c r="T13" i="20"/>
  <c r="T6" i="20"/>
  <c r="T23" i="20" s="1"/>
  <c r="T24" i="20" s="1"/>
  <c r="N7" i="20"/>
  <c r="N23" i="20"/>
  <c r="N24" i="20" s="1"/>
  <c r="AD7" i="20"/>
  <c r="AD23" i="20"/>
  <c r="AD24" i="20" s="1"/>
  <c r="L6" i="20"/>
  <c r="L9" i="20"/>
  <c r="L10" i="20" s="1"/>
  <c r="L13" i="20"/>
  <c r="X31" i="15"/>
  <c r="Y32" i="15"/>
  <c r="Y31" i="15" s="1"/>
  <c r="Y6" i="15" s="1"/>
  <c r="D18" i="20"/>
  <c r="D115" i="20"/>
  <c r="X7" i="20"/>
  <c r="X23" i="20"/>
  <c r="X24" i="20" s="1"/>
  <c r="J7" i="20"/>
  <c r="J23" i="20"/>
  <c r="J24" i="20" s="1"/>
  <c r="R6" i="20"/>
  <c r="R9" i="20"/>
  <c r="R10" i="20" s="1"/>
  <c r="R13" i="20"/>
  <c r="V7" i="20"/>
  <c r="V23" i="20"/>
  <c r="V24" i="20" s="1"/>
  <c r="Z7" i="20" l="1"/>
  <c r="T7" i="20"/>
  <c r="D19" i="20"/>
  <c r="D20" i="20" s="1"/>
  <c r="C27" i="20"/>
  <c r="D6" i="20"/>
  <c r="L23" i="20"/>
  <c r="L24" i="20" s="1"/>
  <c r="L7" i="20"/>
  <c r="R7" i="20"/>
  <c r="R23" i="20"/>
  <c r="R24" i="20" s="1"/>
  <c r="D7" i="20" l="1"/>
  <c r="D23" i="20"/>
  <c r="D8" i="20" l="1"/>
  <c r="D24" i="20"/>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<sst xmlns="http://schemas.openxmlformats.org/spreadsheetml/2006/main" count="5333" uniqueCount="1936">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</sst>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0" borderId="0" applyNumberFormat="0" applyFill="0" applyBorder="0" applyAlignment="0" applyProtection="0"/>
  </cellStyleXfs>
  <cellXfs count="1885">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69"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6"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6" fontId="82" fillId="0" borderId="0" xfId="0" applyNumberFormat="1" applyFont="1" applyProtection="1">
      <protection hidden="1"/>
    </xf>
    <xf numFmtId="166"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5" fontId="0" fillId="5" borderId="11" xfId="0" applyNumberFormat="1" applyFill="1" applyBorder="1" applyAlignment="1">
      <alignment horizontal="center" vertical="center"/>
    </xf>
    <xf numFmtId="165" fontId="122" fillId="0" borderId="4" xfId="0" applyNumberFormat="1" applyFont="1" applyBorder="1" applyAlignment="1" applyProtection="1">
      <alignment horizontal="center" vertical="center" wrapText="1"/>
      <protection locked="0"/>
    </xf>
    <xf numFmtId="165" fontId="122" fillId="0" borderId="4" xfId="0" applyNumberFormat="1" applyFont="1" applyBorder="1" applyAlignment="1" applyProtection="1">
      <alignment horizontal="center" vertical="center"/>
      <protection locked="0"/>
    </xf>
    <xf numFmtId="165" fontId="120" fillId="0" borderId="5" xfId="0" applyNumberFormat="1" applyFont="1" applyBorder="1" applyAlignment="1" applyProtection="1">
      <alignment horizontal="center" vertical="center"/>
      <protection locked="0"/>
    </xf>
    <xf numFmtId="165" fontId="120" fillId="0" borderId="4" xfId="0" applyNumberFormat="1" applyFont="1" applyBorder="1" applyAlignment="1" applyProtection="1">
      <alignment horizontal="center" vertical="center" wrapText="1"/>
      <protection locked="0"/>
    </xf>
    <xf numFmtId="0" fontId="125" fillId="20" borderId="0" xfId="0" applyFont="1" applyFill="1"/>
    <xf numFmtId="165"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1"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5" fontId="0" fillId="13" borderId="100" xfId="0" applyNumberFormat="1" applyFill="1" applyBorder="1" applyProtection="1">
      <protection locked="0"/>
    </xf>
    <xf numFmtId="165"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5" fontId="0" fillId="13" borderId="104" xfId="0" applyNumberFormat="1" applyFill="1" applyBorder="1" applyProtection="1">
      <protection locked="0"/>
    </xf>
    <xf numFmtId="165" fontId="0" fillId="13" borderId="104" xfId="0" applyNumberFormat="1" applyFill="1" applyBorder="1" applyAlignment="1" applyProtection="1">
      <alignment vertical="center"/>
      <protection locked="0"/>
    </xf>
    <xf numFmtId="165" fontId="29" fillId="13" borderId="104" xfId="0" applyNumberFormat="1" applyFont="1" applyFill="1" applyBorder="1" applyAlignment="1" applyProtection="1">
      <alignment vertical="center"/>
      <protection locked="0"/>
    </xf>
    <xf numFmtId="0" fontId="0" fillId="21" borderId="108" xfId="0" applyFill="1" applyBorder="1" applyAlignment="1">
      <alignment horizontal="right" indent="1"/>
    </xf>
    <xf numFmtId="165" fontId="0" fillId="13" borderId="108" xfId="0" applyNumberFormat="1" applyFill="1" applyBorder="1" applyProtection="1">
      <protection locked="0"/>
    </xf>
    <xf numFmtId="165" fontId="0" fillId="13" borderId="108" xfId="0" applyNumberFormat="1" applyFill="1" applyBorder="1" applyAlignment="1" applyProtection="1">
      <alignment vertical="center"/>
      <protection locked="0"/>
    </xf>
    <xf numFmtId="3" fontId="29" fillId="13" borderId="100" xfId="0" applyNumberFormat="1" applyFont="1" applyFill="1" applyBorder="1" applyAlignment="1" applyProtection="1">
      <alignment vertical="center"/>
      <protection locked="0"/>
    </xf>
    <xf numFmtId="3" fontId="29" fillId="13" borderId="104" xfId="0" applyNumberFormat="1" applyFont="1" applyFill="1" applyBorder="1" applyAlignment="1" applyProtection="1">
      <alignment vertical="center"/>
      <protection locked="0"/>
    </xf>
    <xf numFmtId="3" fontId="0" fillId="13" borderId="104" xfId="0" applyNumberFormat="1" applyFill="1" applyBorder="1" applyAlignment="1" applyProtection="1">
      <alignment vertical="center"/>
      <protection locked="0"/>
    </xf>
    <xf numFmtId="3" fontId="29" fillId="13" borderId="108" xfId="0" applyNumberFormat="1" applyFont="1" applyFill="1" applyBorder="1" applyAlignment="1" applyProtection="1">
      <alignment vertical="center"/>
      <protection locked="0"/>
    </xf>
    <xf numFmtId="3" fontId="0" fillId="13" borderId="108" xfId="0" applyNumberFormat="1" applyFill="1" applyBorder="1" applyProtection="1">
      <protection locked="0"/>
    </xf>
    <xf numFmtId="3" fontId="0" fillId="13" borderId="108" xfId="0" applyNumberForma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6" fillId="13" borderId="104"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6" fillId="13" borderId="108"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5"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6" fontId="0" fillId="29" borderId="100" xfId="0" applyNumberFormat="1" applyFill="1" applyBorder="1" applyAlignment="1" applyProtection="1">
      <alignment horizontal="center" vertical="center"/>
    </xf>
    <xf numFmtId="165"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6" fontId="0" fillId="29" borderId="104" xfId="0" applyNumberFormat="1" applyFill="1" applyBorder="1" applyAlignment="1" applyProtection="1">
      <alignment horizontal="center" vertical="center"/>
    </xf>
    <xf numFmtId="165"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6" fontId="0" fillId="29" borderId="108" xfId="0" applyNumberFormat="1" applyFill="1" applyBorder="1" applyAlignment="1" applyProtection="1">
      <alignment horizontal="center" vertical="center"/>
    </xf>
    <xf numFmtId="165"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6" fontId="0" fillId="29" borderId="4" xfId="0" applyNumberFormat="1" applyFill="1" applyBorder="1" applyAlignment="1" applyProtection="1">
      <alignment horizontal="center" vertical="center"/>
    </xf>
    <xf numFmtId="166"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0" fillId="13" borderId="97" xfId="0" applyNumberFormat="1" applyFill="1" applyBorder="1" applyAlignment="1" applyProtection="1">
      <alignment horizontal="right" vertical="center"/>
      <protection locked="0"/>
    </xf>
    <xf numFmtId="165" fontId="0" fillId="13" borderId="101" xfId="0" applyNumberFormat="1" applyFill="1" applyBorder="1" applyAlignment="1" applyProtection="1">
      <alignment horizontal="right" vertical="center"/>
      <protection locked="0"/>
    </xf>
    <xf numFmtId="165" fontId="0" fillId="13" borderId="105"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5"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5" fontId="7" fillId="5" borderId="8" xfId="0" applyNumberFormat="1" applyFont="1" applyFill="1" applyBorder="1" applyAlignment="1" applyProtection="1">
      <alignment horizontal="right" vertical="center"/>
      <protection locked="0"/>
    </xf>
    <xf numFmtId="165"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115"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6" fillId="0" borderId="1" xfId="0" applyFont="1" applyBorder="1" applyAlignment="1">
      <alignment horizontal="center" vertical="center" wrapText="1"/>
    </xf>
    <xf numFmtId="0" fontId="0" fillId="21" borderId="4" xfId="0" applyFont="1" applyFill="1" applyBorder="1" applyAlignment="1">
      <alignment horizontal="left" vertical="center" wrapText="1"/>
    </xf>
    <xf numFmtId="0" fontId="129" fillId="20" borderId="6" xfId="0" applyFont="1" applyFill="1" applyBorder="1" applyAlignment="1">
      <alignment horizontal="center"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4" xfId="0" applyFont="1" applyFill="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31" fillId="36" borderId="10"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69"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numRef>
              <c:f>'Экономический расчет'!$D$41:$D$63</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841971424"/>
        <c:axId val="841971984"/>
      </c:barChart>
      <c:catAx>
        <c:axId val="8419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841971984"/>
        <c:crosses val="autoZero"/>
        <c:auto val="1"/>
        <c:lblAlgn val="ctr"/>
        <c:lblOffset val="100"/>
        <c:noMultiLvlLbl val="0"/>
      </c:catAx>
      <c:valAx>
        <c:axId val="841971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841971424"/>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0</c:v>
                </c:pt>
                <c:pt idx="1">
                  <c:v>0</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#N/A</c:v>
                </c:pt>
                <c:pt idx="1">
                  <c:v>#N/A</c:v>
                </c:pt>
                <c:pt idx="2">
                  <c:v>#N/A</c:v>
                </c:pt>
                <c:pt idx="3">
                  <c:v>#N/A</c:v>
                </c:pt>
                <c:pt idx="4">
                  <c:v>#N/A</c:v>
                </c:pt>
                <c:pt idx="5">
                  <c:v>#N/A</c:v>
                </c:pt>
                <c:pt idx="6">
                  <c:v>#N/A</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#N/A</c:v>
                </c:pt>
                <c:pt idx="1">
                  <c:v>0</c:v>
                </c:pt>
                <c:pt idx="2">
                  <c:v>#N/A</c:v>
                </c:pt>
                <c:pt idx="3">
                  <c:v>0</c:v>
                </c:pt>
                <c:pt idx="4">
                  <c:v>#N/A</c:v>
                </c:pt>
                <c:pt idx="5">
                  <c:v>0</c:v>
                </c:pt>
                <c:pt idx="6">
                  <c:v>#N/A</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#N/A</c:v>
                </c:pt>
                <c:pt idx="1">
                  <c:v>0</c:v>
                </c:pt>
                <c:pt idx="2" formatCode="0">
                  <c:v>#N/A</c:v>
                </c:pt>
                <c:pt idx="3">
                  <c:v>0</c:v>
                </c:pt>
                <c:pt idx="4" formatCode="0">
                  <c:v>#N/A</c:v>
                </c:pt>
                <c:pt idx="5">
                  <c:v>0</c:v>
                </c:pt>
                <c:pt idx="6" formatCode="0">
                  <c:v>#N/A</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844148752"/>
        <c:axId val="844149312"/>
      </c:barChart>
      <c:catAx>
        <c:axId val="844148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49312"/>
        <c:crosses val="autoZero"/>
        <c:auto val="1"/>
        <c:lblAlgn val="ctr"/>
        <c:lblOffset val="100"/>
        <c:noMultiLvlLbl val="0"/>
      </c:catAx>
      <c:valAx>
        <c:axId val="84414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48752"/>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0</c:v>
                </c:pt>
                <c:pt idx="1">
                  <c:v>#N/A</c:v>
                </c:pt>
                <c:pt idx="2">
                  <c:v>0</c:v>
                </c:pt>
                <c:pt idx="3">
                  <c:v>#N/A</c:v>
                </c:pt>
                <c:pt idx="4">
                  <c:v>0</c:v>
                </c:pt>
                <c:pt idx="5">
                  <c:v>#N/A</c:v>
                </c:pt>
                <c:pt idx="6">
                  <c:v>0</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844153232"/>
        <c:axId val="844153792"/>
      </c:barChart>
      <c:catAx>
        <c:axId val="8441532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53792"/>
        <c:crosses val="autoZero"/>
        <c:auto val="1"/>
        <c:lblAlgn val="ctr"/>
        <c:lblOffset val="100"/>
        <c:noMultiLvlLbl val="0"/>
      </c:catAx>
      <c:valAx>
        <c:axId val="84415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153232"/>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844156592"/>
        <c:axId val="844157152"/>
      </c:barChart>
      <c:catAx>
        <c:axId val="844156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57152"/>
        <c:crosses val="autoZero"/>
        <c:auto val="1"/>
        <c:lblAlgn val="ctr"/>
        <c:lblOffset val="100"/>
        <c:noMultiLvlLbl val="0"/>
      </c:catAx>
      <c:valAx>
        <c:axId val="844157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15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844159952"/>
        <c:axId val="844160512"/>
      </c:barChart>
      <c:catAx>
        <c:axId val="8441599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60512"/>
        <c:crosses val="autoZero"/>
        <c:auto val="1"/>
        <c:lblAlgn val="ctr"/>
        <c:lblOffset val="100"/>
        <c:noMultiLvlLbl val="0"/>
      </c:catAx>
      <c:valAx>
        <c:axId val="844160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15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#N/A</c:v>
                </c:pt>
                <c:pt idx="1">
                  <c:v>0</c:v>
                </c:pt>
                <c:pt idx="2">
                  <c:v>0</c:v>
                </c:pt>
                <c:pt idx="3" formatCode="0.0">
                  <c:v>0</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#N/A</c:v>
                </c:pt>
                <c:pt idx="2">
                  <c:v>0</c:v>
                </c:pt>
                <c:pt idx="3">
                  <c:v>#N/A</c:v>
                </c:pt>
                <c:pt idx="4">
                  <c:v>0</c:v>
                </c:pt>
                <c:pt idx="5">
                  <c:v>#N/A</c:v>
                </c:pt>
                <c:pt idx="6">
                  <c:v>0</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845773568"/>
        <c:axId val="845774128"/>
      </c:barChart>
      <c:catAx>
        <c:axId val="845773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5774128"/>
        <c:crosses val="autoZero"/>
        <c:auto val="1"/>
        <c:lblAlgn val="ctr"/>
        <c:lblOffset val="100"/>
        <c:noMultiLvlLbl val="0"/>
      </c:catAx>
      <c:valAx>
        <c:axId val="845774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773568"/>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0</c:v>
                </c:pt>
                <c:pt idx="1">
                  <c:v>0</c:v>
                </c:pt>
                <c:pt idx="2" formatCode="0">
                  <c:v>0</c:v>
                </c:pt>
                <c:pt idx="3">
                  <c:v>0</c:v>
                </c:pt>
                <c:pt idx="4" formatCode="0">
                  <c:v>#N/A</c:v>
                </c:pt>
                <c:pt idx="5">
                  <c:v>0</c:v>
                </c:pt>
                <c:pt idx="6" formatCode="0.0">
                  <c:v>#N/A</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#N/A</c:v>
                </c:pt>
                <c:pt idx="1">
                  <c:v>#N/A</c:v>
                </c:pt>
                <c:pt idx="2">
                  <c:v>0</c:v>
                </c:pt>
                <c:pt idx="3" formatCode="0">
                  <c:v>#N/A</c:v>
                </c:pt>
                <c:pt idx="4">
                  <c:v>#N/A</c:v>
                </c:pt>
                <c:pt idx="5">
                  <c:v>0</c:v>
                </c:pt>
                <c:pt idx="6" formatCode="0">
                  <c:v>#N/A</c:v>
                </c:pt>
                <c:pt idx="7">
                  <c:v>#N/A</c:v>
                </c:pt>
                <c:pt idx="8">
                  <c:v>0</c:v>
                </c:pt>
                <c:pt idx="9" formatCode="0">
                  <c:v>#N/A</c:v>
                </c:pt>
                <c:pt idx="10">
                  <c:v>#N/A</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#N/A</c:v>
                </c:pt>
                <c:pt idx="1">
                  <c:v>#N/A</c:v>
                </c:pt>
                <c:pt idx="2">
                  <c:v>0</c:v>
                </c:pt>
                <c:pt idx="3" formatCode="0">
                  <c:v>#N/A</c:v>
                </c:pt>
                <c:pt idx="4">
                  <c:v>#N/A</c:v>
                </c:pt>
                <c:pt idx="5">
                  <c:v>0</c:v>
                </c:pt>
                <c:pt idx="6" formatCode="0">
                  <c:v>#N/A</c:v>
                </c:pt>
                <c:pt idx="7">
                  <c:v>#N/A</c:v>
                </c:pt>
                <c:pt idx="8">
                  <c:v>0</c:v>
                </c:pt>
                <c:pt idx="9" formatCode="0">
                  <c:v>#N/A</c:v>
                </c:pt>
                <c:pt idx="10">
                  <c:v>#N/A</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#N/A</c:v>
                </c:pt>
                <c:pt idx="1">
                  <c:v>#N/A</c:v>
                </c:pt>
                <c:pt idx="2">
                  <c:v>0</c:v>
                </c:pt>
                <c:pt idx="3">
                  <c:v>#N/A</c:v>
                </c:pt>
                <c:pt idx="4">
                  <c:v>#N/A</c:v>
                </c:pt>
                <c:pt idx="5">
                  <c:v>0</c:v>
                </c:pt>
                <c:pt idx="6">
                  <c:v>#N/A</c:v>
                </c:pt>
                <c:pt idx="7">
                  <c:v>#N/A</c:v>
                </c:pt>
                <c:pt idx="8">
                  <c:v>0</c:v>
                </c:pt>
                <c:pt idx="9">
                  <c:v>#N/A</c:v>
                </c:pt>
                <c:pt idx="10">
                  <c:v>#N/A</c:v>
                </c:pt>
                <c:pt idx="11">
                  <c:v>0</c:v>
                </c:pt>
                <c:pt idx="12" formatCode="General">
                  <c:v>#N/A</c:v>
                </c:pt>
                <c:pt idx="13">
                  <c:v>0</c:v>
                </c:pt>
                <c:pt idx="14">
                  <c:v>0</c:v>
                </c:pt>
                <c:pt idx="15" formatCode="General">
                  <c:v>#N/A</c:v>
                </c:pt>
                <c:pt idx="16">
                  <c:v>0</c:v>
                </c:pt>
                <c:pt idx="17">
                  <c:v>0</c:v>
                </c:pt>
                <c:pt idx="18" formatCode="General">
                  <c:v>#N/A</c:v>
                </c:pt>
                <c:pt idx="19">
                  <c:v>0</c:v>
                </c:pt>
                <c:pt idx="20">
                  <c:v>0</c:v>
                </c:pt>
                <c:pt idx="21" formatCode="General">
                  <c:v>#N/A</c:v>
                </c:pt>
                <c:pt idx="22">
                  <c:v>0</c:v>
                </c:pt>
                <c:pt idx="23">
                  <c:v>0</c:v>
                </c:pt>
                <c:pt idx="24" formatCode="General">
                  <c:v>#N/A</c:v>
                </c:pt>
                <c:pt idx="25">
                  <c:v>0</c:v>
                </c:pt>
                <c:pt idx="26">
                  <c:v>0</c:v>
                </c:pt>
                <c:pt idx="27">
                  <c:v>#N/A</c:v>
                </c:pt>
                <c:pt idx="28">
                  <c:v>0</c:v>
                </c:pt>
                <c:pt idx="29">
                  <c:v>0</c:v>
                </c:pt>
                <c:pt idx="30">
                  <c:v>#N/A</c:v>
                </c:pt>
                <c:pt idx="31">
                  <c:v>0</c:v>
                </c:pt>
                <c:pt idx="32">
                  <c:v>0</c:v>
                </c:pt>
                <c:pt idx="33" formatCode="0.00">
                  <c:v>#N/A</c:v>
                </c:pt>
                <c:pt idx="34">
                  <c:v>0</c:v>
                </c:pt>
                <c:pt idx="35">
                  <c:v>0</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0</c:v>
                </c:pt>
                <c:pt idx="1">
                  <c:v>0</c:v>
                </c:pt>
                <c:pt idx="2">
                  <c:v>0</c:v>
                </c:pt>
                <c:pt idx="3">
                  <c:v>0</c:v>
                </c:pt>
                <c:pt idx="4">
                  <c:v>0</c:v>
                </c:pt>
                <c:pt idx="5">
                  <c:v>0</c:v>
                </c:pt>
                <c:pt idx="6">
                  <c:v>0</c:v>
                </c:pt>
                <c:pt idx="7">
                  <c:v>0</c:v>
                </c:pt>
                <c:pt idx="8">
                  <c:v>0</c:v>
                </c:pt>
                <c:pt idx="9">
                  <c:v>0</c:v>
                </c:pt>
                <c:pt idx="10">
                  <c:v>0</c:v>
                </c:pt>
                <c:pt idx="11">
                  <c:v>0</c:v>
                </c:pt>
                <c:pt idx="12">
                  <c:v>#N/A</c:v>
                </c:pt>
                <c:pt idx="13">
                  <c:v>0</c:v>
                </c:pt>
                <c:pt idx="14">
                  <c:v>0</c:v>
                </c:pt>
                <c:pt idx="15" formatCode="General">
                  <c:v>#N/A</c:v>
                </c:pt>
                <c:pt idx="16">
                  <c:v>0</c:v>
                </c:pt>
                <c:pt idx="17">
                  <c:v>0</c:v>
                </c:pt>
                <c:pt idx="18" formatCode="General">
                  <c:v>#N/A</c:v>
                </c:pt>
                <c:pt idx="19">
                  <c:v>0</c:v>
                </c:pt>
                <c:pt idx="20">
                  <c:v>0</c:v>
                </c:pt>
                <c:pt idx="21" formatCode="General">
                  <c:v>#N/A</c:v>
                </c:pt>
                <c:pt idx="22">
                  <c:v>0</c:v>
                </c:pt>
                <c:pt idx="23">
                  <c:v>0</c:v>
                </c:pt>
                <c:pt idx="24" formatCode="General">
                  <c:v>#N/A</c:v>
                </c:pt>
                <c:pt idx="25">
                  <c:v>0</c:v>
                </c:pt>
                <c:pt idx="26">
                  <c:v>0</c:v>
                </c:pt>
                <c:pt idx="27" formatCode="0">
                  <c:v>0</c:v>
                </c:pt>
                <c:pt idx="28">
                  <c:v>0</c:v>
                </c:pt>
                <c:pt idx="29">
                  <c:v>0</c:v>
                </c:pt>
                <c:pt idx="30" formatCode="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841975344"/>
        <c:axId val="841975904"/>
      </c:barChart>
      <c:catAx>
        <c:axId val="8419753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1975904"/>
        <c:crosses val="autoZero"/>
        <c:auto val="1"/>
        <c:lblAlgn val="ctr"/>
        <c:lblOffset val="100"/>
        <c:noMultiLvlLbl val="0"/>
      </c:catAx>
      <c:valAx>
        <c:axId val="841975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1975344"/>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845776368"/>
        <c:axId val="845776928"/>
      </c:scatterChart>
      <c:valAx>
        <c:axId val="84577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776928"/>
        <c:crosses val="autoZero"/>
        <c:crossBetween val="midCat"/>
      </c:valAx>
      <c:valAx>
        <c:axId val="8457769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776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845779168"/>
        <c:axId val="845779728"/>
      </c:scatterChart>
      <c:valAx>
        <c:axId val="845779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779728"/>
        <c:crosses val="autoZero"/>
        <c:crossBetween val="midCat"/>
      </c:valAx>
      <c:valAx>
        <c:axId val="84577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5779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#N/A</c:v>
                </c:pt>
                <c:pt idx="1">
                  <c:v>0</c:v>
                </c:pt>
                <c:pt idx="2">
                  <c:v>0</c:v>
                </c:pt>
                <c:pt idx="3" formatCode="0">
                  <c:v>#N/A</c:v>
                </c:pt>
                <c:pt idx="4">
                  <c:v>0</c:v>
                </c:pt>
                <c:pt idx="5">
                  <c:v>0</c:v>
                </c:pt>
                <c:pt idx="6" formatCode="0">
                  <c:v>#N/A</c:v>
                </c:pt>
                <c:pt idx="7">
                  <c:v>0</c:v>
                </c:pt>
                <c:pt idx="8">
                  <c:v>0</c:v>
                </c:pt>
                <c:pt idx="9" formatCode="0">
                  <c:v>#N/A</c:v>
                </c:pt>
                <c:pt idx="10">
                  <c:v>0</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841979824"/>
        <c:axId val="841980384"/>
      </c:barChart>
      <c:catAx>
        <c:axId val="841979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1980384"/>
        <c:crosses val="autoZero"/>
        <c:auto val="1"/>
        <c:lblAlgn val="ctr"/>
        <c:lblOffset val="100"/>
        <c:noMultiLvlLbl val="0"/>
      </c:catAx>
      <c:valAx>
        <c:axId val="84198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1979824"/>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841983184"/>
        <c:axId val="841983744"/>
      </c:barChart>
      <c:catAx>
        <c:axId val="841983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1983744"/>
        <c:crosses val="autoZero"/>
        <c:auto val="1"/>
        <c:lblAlgn val="ctr"/>
        <c:lblOffset val="100"/>
        <c:noMultiLvlLbl val="0"/>
      </c:catAx>
      <c:valAx>
        <c:axId val="84198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1983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#N/A</c:v>
                </c:pt>
                <c:pt idx="1">
                  <c:v>0</c:v>
                </c:pt>
                <c:pt idx="2">
                  <c:v>#N/A</c:v>
                </c:pt>
                <c:pt idx="3">
                  <c:v>0</c:v>
                </c:pt>
                <c:pt idx="4">
                  <c:v>#N/A</c:v>
                </c:pt>
                <c:pt idx="5">
                  <c:v>0</c:v>
                </c:pt>
                <c:pt idx="6">
                  <c:v>#N/A</c:v>
                </c:pt>
                <c:pt idx="7">
                  <c:v>0</c:v>
                </c:pt>
                <c:pt idx="8">
                  <c:v>#N/A</c:v>
                </c:pt>
                <c:pt idx="9">
                  <c:v>0</c:v>
                </c:pt>
                <c:pt idx="10">
                  <c:v>#N/A</c:v>
                </c:pt>
                <c:pt idx="11">
                  <c:v>0</c:v>
                </c:pt>
                <c:pt idx="12">
                  <c:v>#N/A</c:v>
                </c:pt>
                <c:pt idx="13">
                  <c:v>0</c:v>
                </c:pt>
                <c:pt idx="14">
                  <c:v>#N/A</c:v>
                </c:pt>
                <c:pt idx="15">
                  <c:v>0</c:v>
                </c:pt>
                <c:pt idx="16">
                  <c:v>#N/A</c:v>
                </c:pt>
                <c:pt idx="17">
                  <c:v>0</c:v>
                </c:pt>
                <c:pt idx="18">
                  <c:v>#N/A</c:v>
                </c:pt>
                <c:pt idx="19">
                  <c:v>0</c:v>
                </c:pt>
                <c:pt idx="20">
                  <c:v>#N/A</c:v>
                </c:pt>
                <c:pt idx="21">
                  <c:v>0</c:v>
                </c:pt>
                <c:pt idx="22">
                  <c:v>#N/A</c:v>
                </c:pt>
                <c:pt idx="23">
                  <c:v>0</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844133072"/>
        <c:axId val="844133632"/>
      </c:barChart>
      <c:catAx>
        <c:axId val="844133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33632"/>
        <c:crosses val="autoZero"/>
        <c:auto val="1"/>
        <c:lblAlgn val="ctr"/>
        <c:lblOffset val="100"/>
        <c:noMultiLvlLbl val="0"/>
      </c:catAx>
      <c:valAx>
        <c:axId val="844133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13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#N/A</c:v>
                </c:pt>
                <c:pt idx="1">
                  <c:v>#N/A</c:v>
                </c:pt>
                <c:pt idx="2">
                  <c:v>#N/A</c:v>
                </c:pt>
                <c:pt idx="3" formatCode="0.0">
                  <c:v>0</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#N/A</c:v>
                </c:pt>
                <c:pt idx="1">
                  <c:v>0</c:v>
                </c:pt>
                <c:pt idx="2" formatCode="0">
                  <c:v>#N/A</c:v>
                </c:pt>
                <c:pt idx="3">
                  <c:v>0</c:v>
                </c:pt>
                <c:pt idx="4" formatCode="0">
                  <c:v>#N/A</c:v>
                </c:pt>
                <c:pt idx="5">
                  <c:v>0</c:v>
                </c:pt>
                <c:pt idx="6" formatCode="0">
                  <c:v>#N/A</c:v>
                </c:pt>
                <c:pt idx="7">
                  <c:v>0</c:v>
                </c:pt>
                <c:pt idx="8" formatCode="0">
                  <c:v>#N/A</c:v>
                </c:pt>
                <c:pt idx="9">
                  <c:v>0</c:v>
                </c:pt>
                <c:pt idx="10" formatCode="0">
                  <c:v>#N/A</c:v>
                </c:pt>
                <c:pt idx="11">
                  <c:v>0</c:v>
                </c:pt>
                <c:pt idx="12" formatCode="0">
                  <c:v>#N/A</c:v>
                </c:pt>
                <c:pt idx="13">
                  <c:v>0</c:v>
                </c:pt>
                <c:pt idx="14" formatCode="0">
                  <c:v>#N/A</c:v>
                </c:pt>
                <c:pt idx="15">
                  <c:v>0</c:v>
                </c:pt>
                <c:pt idx="16" formatCode="0">
                  <c:v>#N/A</c:v>
                </c:pt>
                <c:pt idx="17">
                  <c:v>0</c:v>
                </c:pt>
                <c:pt idx="18" formatCode="0">
                  <c:v>#N/A</c:v>
                </c:pt>
                <c:pt idx="19">
                  <c:v>0</c:v>
                </c:pt>
                <c:pt idx="20" formatCode="0">
                  <c:v>#N/A</c:v>
                </c:pt>
                <c:pt idx="21">
                  <c:v>0</c:v>
                </c:pt>
                <c:pt idx="22" formatCode="0.0">
                  <c:v>#N/A</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844142032"/>
        <c:axId val="844142592"/>
      </c:barChart>
      <c:catAx>
        <c:axId val="8441420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44142592"/>
        <c:crosses val="autoZero"/>
        <c:auto val="1"/>
        <c:lblAlgn val="ctr"/>
        <c:lblOffset val="100"/>
        <c:noMultiLvlLbl val="0"/>
      </c:catAx>
      <c:valAx>
        <c:axId val="844142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44142032"/>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checked="Checked" fmlaLink="списки!$C$33"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Система ГВС'!$E$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57150</xdr:rowOff>
        </xdr:from>
        <xdr:to>
          <xdr:col>3</xdr:col>
          <xdr:colOff>1047750</xdr:colOff>
          <xdr:row>25</xdr:row>
          <xdr:rowOff>352425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25</xdr:row>
          <xdr:rowOff>66675</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122</xdr:row>
          <xdr:rowOff>9525</xdr:rowOff>
        </xdr:from>
        <xdr:to>
          <xdr:col>2</xdr:col>
          <xdr:colOff>1666875</xdr:colOff>
          <xdr:row>123</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19050</xdr:rowOff>
        </xdr:from>
        <xdr:to>
          <xdr:col>2</xdr:col>
          <xdr:colOff>3629025</xdr:colOff>
          <xdr:row>123</xdr:row>
          <xdr:rowOff>85725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88</xdr:row>
          <xdr:rowOff>38100</xdr:rowOff>
        </xdr:from>
        <xdr:to>
          <xdr:col>2</xdr:col>
          <xdr:colOff>2981325</xdr:colOff>
          <xdr:row>90</xdr:row>
          <xdr:rowOff>28575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38100</xdr:rowOff>
        </xdr:from>
        <xdr:to>
          <xdr:col>2</xdr:col>
          <xdr:colOff>3752850</xdr:colOff>
          <xdr:row>88</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47625</xdr:rowOff>
        </xdr:from>
        <xdr:to>
          <xdr:col>4</xdr:col>
          <xdr:colOff>4029075</xdr:colOff>
          <xdr:row>92</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86</xdr:row>
          <xdr:rowOff>190500</xdr:rowOff>
        </xdr:from>
        <xdr:to>
          <xdr:col>4</xdr:col>
          <xdr:colOff>3895725</xdr:colOff>
          <xdr:row>88</xdr:row>
          <xdr:rowOff>47625</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88</xdr:row>
          <xdr:rowOff>57150</xdr:rowOff>
        </xdr:from>
        <xdr:to>
          <xdr:col>4</xdr:col>
          <xdr:colOff>3962400</xdr:colOff>
          <xdr:row>89</xdr:row>
          <xdr:rowOff>142875</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142875</xdr:rowOff>
        </xdr:from>
        <xdr:to>
          <xdr:col>4</xdr:col>
          <xdr:colOff>3876675</xdr:colOff>
          <xdr:row>91</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19050</xdr:rowOff>
        </xdr:from>
        <xdr:to>
          <xdr:col>3</xdr:col>
          <xdr:colOff>1047750</xdr:colOff>
          <xdr:row>26</xdr:row>
          <xdr:rowOff>323850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28575</xdr:rowOff>
        </xdr:from>
        <xdr:to>
          <xdr:col>3</xdr:col>
          <xdr:colOff>2124075</xdr:colOff>
          <xdr:row>26</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86</xdr:row>
          <xdr:rowOff>180975</xdr:rowOff>
        </xdr:from>
        <xdr:to>
          <xdr:col>2</xdr:col>
          <xdr:colOff>2047875</xdr:colOff>
          <xdr:row>87</xdr:row>
          <xdr:rowOff>133350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87</xdr:row>
          <xdr:rowOff>0</xdr:rowOff>
        </xdr:from>
        <xdr:to>
          <xdr:col>2</xdr:col>
          <xdr:colOff>2790825</xdr:colOff>
          <xdr:row>87</xdr:row>
          <xdr:rowOff>133350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3571875</xdr:colOff>
          <xdr:row>100</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3562350</xdr:colOff>
          <xdr:row>99</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133350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3867150</xdr:colOff>
          <xdr:row>102</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57150</xdr:rowOff>
        </xdr:from>
        <xdr:to>
          <xdr:col>4</xdr:col>
          <xdr:colOff>3676650</xdr:colOff>
          <xdr:row>99</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100</xdr:row>
          <xdr:rowOff>38100</xdr:rowOff>
        </xdr:from>
        <xdr:to>
          <xdr:col>4</xdr:col>
          <xdr:colOff>3733800</xdr:colOff>
          <xdr:row>100</xdr:row>
          <xdr:rowOff>438150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114</xdr:row>
          <xdr:rowOff>19050</xdr:rowOff>
        </xdr:from>
        <xdr:to>
          <xdr:col>3</xdr:col>
          <xdr:colOff>0</xdr:colOff>
          <xdr:row>119</xdr:row>
          <xdr:rowOff>171450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114</xdr:row>
          <xdr:rowOff>152400</xdr:rowOff>
        </xdr:from>
        <xdr:to>
          <xdr:col>2</xdr:col>
          <xdr:colOff>3743325</xdr:colOff>
          <xdr:row>116</xdr:row>
          <xdr:rowOff>57150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116</xdr:row>
          <xdr:rowOff>47625</xdr:rowOff>
        </xdr:from>
        <xdr:to>
          <xdr:col>2</xdr:col>
          <xdr:colOff>3762375</xdr:colOff>
          <xdr:row>117</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3714750</xdr:colOff>
          <xdr:row>118</xdr:row>
          <xdr:rowOff>57150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57150</xdr:rowOff>
        </xdr:from>
        <xdr:to>
          <xdr:col>2</xdr:col>
          <xdr:colOff>3752850</xdr:colOff>
          <xdr:row>119</xdr:row>
          <xdr:rowOff>161925</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66675</xdr:rowOff>
        </xdr:from>
        <xdr:to>
          <xdr:col>2</xdr:col>
          <xdr:colOff>3762375</xdr:colOff>
          <xdr:row>123</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91</xdr:row>
          <xdr:rowOff>19050</xdr:rowOff>
        </xdr:from>
        <xdr:to>
          <xdr:col>4</xdr:col>
          <xdr:colOff>3990975</xdr:colOff>
          <xdr:row>92</xdr:row>
          <xdr:rowOff>142875</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0</xdr:rowOff>
        </xdr:from>
        <xdr:to>
          <xdr:col>4</xdr:col>
          <xdr:colOff>47625</xdr:colOff>
          <xdr:row>28</xdr:row>
          <xdr:rowOff>9525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2371725</xdr:colOff>
          <xdr:row>29</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209550</xdr:rowOff>
        </xdr:from>
        <xdr:to>
          <xdr:col>4</xdr:col>
          <xdr:colOff>133350</xdr:colOff>
          <xdr:row>30</xdr:row>
          <xdr:rowOff>28575</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0</xdr:rowOff>
        </xdr:from>
        <xdr:to>
          <xdr:col>3</xdr:col>
          <xdr:colOff>2933700</xdr:colOff>
          <xdr:row>17</xdr:row>
          <xdr:rowOff>9525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22</xdr:row>
          <xdr:rowOff>0</xdr:rowOff>
        </xdr:from>
        <xdr:to>
          <xdr:col>3</xdr:col>
          <xdr:colOff>1143000</xdr:colOff>
          <xdr:row>23</xdr:row>
          <xdr:rowOff>9525</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19050</xdr:rowOff>
        </xdr:from>
        <xdr:to>
          <xdr:col>4</xdr:col>
          <xdr:colOff>0</xdr:colOff>
          <xdr:row>34</xdr:row>
          <xdr:rowOff>257175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342900</xdr:rowOff>
        </xdr:from>
        <xdr:to>
          <xdr:col>3</xdr:col>
          <xdr:colOff>2990850</xdr:colOff>
          <xdr:row>35</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85725</xdr:rowOff>
        </xdr:from>
        <xdr:to>
          <xdr:col>4</xdr:col>
          <xdr:colOff>3810000</xdr:colOff>
          <xdr:row>101</xdr:row>
          <xdr:rowOff>485775</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333375</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19050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8"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tabSelected="1" zoomScaleNormal="100" workbookViewId="0">
      <pane ySplit="1" topLeftCell="A2" activePane="bottomLeft" state="frozen"/>
      <selection pane="bottomLeft" activeCell="A2" sqref="A2"/>
    </sheetView>
  </sheetViews>
  <sheetFormatPr defaultRowHeight="15" x14ac:dyDescent="0.25"/>
  <cols>
    <col min="1" max="1" width="9.140625" style="45"/>
    <col min="2" max="2" width="4.7109375" style="45" customWidth="1"/>
    <col min="3" max="3" width="4.28515625" style="45" customWidth="1"/>
    <col min="4" max="4" width="112" style="45" customWidth="1"/>
    <col min="5" max="16384" width="9.140625" style="45"/>
  </cols>
  <sheetData>
    <row r="1" spans="1:24" s="43" customFormat="1" x14ac:dyDescent="0.25">
      <c r="A1" s="44"/>
      <c r="B1" s="42"/>
      <c r="D1" s="1518" t="s">
        <v>1680</v>
      </c>
      <c r="E1" s="44"/>
      <c r="F1" s="44"/>
      <c r="G1" s="44"/>
      <c r="H1" s="44"/>
      <c r="I1" s="44"/>
      <c r="J1" s="44"/>
      <c r="K1" s="44"/>
      <c r="L1" s="44"/>
      <c r="M1" s="44"/>
      <c r="N1" s="44"/>
      <c r="O1" s="44"/>
      <c r="P1" s="44"/>
      <c r="Q1" s="44"/>
      <c r="R1" s="44"/>
      <c r="S1" s="44"/>
      <c r="T1" s="44"/>
      <c r="U1" s="44"/>
      <c r="V1" s="44"/>
      <c r="W1" s="44"/>
      <c r="X1" s="44"/>
    </row>
    <row r="2" spans="1:24" x14ac:dyDescent="0.25">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35">
      <c r="A3" s="44"/>
      <c r="B3" s="46"/>
      <c r="C3" s="1542" t="s">
        <v>1905</v>
      </c>
      <c r="D3" s="1542"/>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43" t="s">
        <v>1907</v>
      </c>
      <c r="D5" s="1543"/>
      <c r="E5" s="44"/>
      <c r="F5" s="44"/>
      <c r="G5" s="44"/>
      <c r="H5" s="44"/>
      <c r="I5" s="44"/>
      <c r="J5" s="44"/>
      <c r="K5" s="44"/>
      <c r="L5" s="44"/>
      <c r="M5" s="44"/>
      <c r="N5" s="44"/>
      <c r="O5" s="44"/>
      <c r="P5" s="44"/>
      <c r="Q5" s="44"/>
      <c r="R5" s="44"/>
      <c r="S5" s="44"/>
      <c r="T5" s="44"/>
      <c r="U5" s="44"/>
      <c r="V5" s="44"/>
      <c r="W5" s="44"/>
      <c r="X5" s="44"/>
    </row>
    <row r="6" spans="1:24" ht="26.25" x14ac:dyDescent="0.4">
      <c r="A6" s="44"/>
      <c r="B6" s="46"/>
      <c r="C6" s="1544" t="s">
        <v>1909</v>
      </c>
      <c r="D6" s="1544"/>
      <c r="E6" s="47"/>
      <c r="F6" s="44"/>
      <c r="G6" s="44"/>
      <c r="H6" s="44"/>
      <c r="I6" s="44"/>
      <c r="J6" s="44"/>
      <c r="K6" s="44"/>
      <c r="L6" s="44"/>
      <c r="M6" s="44"/>
      <c r="N6" s="44"/>
      <c r="O6" s="44"/>
      <c r="P6" s="44"/>
      <c r="Q6" s="44"/>
      <c r="R6" s="44"/>
      <c r="S6" s="44"/>
      <c r="T6" s="44"/>
      <c r="U6" s="44"/>
      <c r="V6" s="44"/>
      <c r="W6" s="44"/>
      <c r="X6" s="44"/>
    </row>
    <row r="7" spans="1:24" ht="39" customHeight="1" x14ac:dyDescent="0.3">
      <c r="A7" s="44"/>
      <c r="B7" s="46"/>
      <c r="C7" s="1541" t="s">
        <v>1681</v>
      </c>
      <c r="D7" s="1541"/>
      <c r="E7" s="47"/>
      <c r="F7" s="44"/>
      <c r="G7" s="44"/>
      <c r="H7" s="44"/>
      <c r="I7" s="44"/>
      <c r="J7" s="44"/>
      <c r="K7" s="44"/>
      <c r="L7" s="44"/>
      <c r="M7" s="44"/>
      <c r="N7" s="44"/>
      <c r="O7" s="44"/>
      <c r="P7" s="44"/>
      <c r="Q7" s="44"/>
      <c r="R7" s="44"/>
      <c r="S7" s="44"/>
      <c r="T7" s="44"/>
      <c r="U7" s="44"/>
      <c r="V7" s="44"/>
      <c r="W7" s="44"/>
      <c r="X7" s="44"/>
    </row>
    <row r="8" spans="1:24" ht="33" x14ac:dyDescent="0.25">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
      <c r="A9" s="44"/>
      <c r="B9" s="46"/>
      <c r="C9" s="1541" t="s">
        <v>1683</v>
      </c>
      <c r="D9" s="1541"/>
      <c r="E9" s="47"/>
      <c r="F9" s="44"/>
      <c r="G9" s="44"/>
      <c r="H9" s="44"/>
      <c r="I9" s="44"/>
      <c r="J9" s="44"/>
      <c r="K9" s="44"/>
      <c r="L9" s="44"/>
      <c r="M9" s="44"/>
      <c r="N9" s="44"/>
      <c r="O9" s="44"/>
      <c r="P9" s="44"/>
      <c r="Q9" s="44"/>
      <c r="R9" s="44"/>
      <c r="S9" s="44"/>
      <c r="T9" s="44"/>
      <c r="U9" s="44"/>
      <c r="V9" s="44"/>
      <c r="W9" s="44"/>
      <c r="X9" s="44"/>
    </row>
    <row r="10" spans="1:24" ht="49.5" x14ac:dyDescent="0.25">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
      <c r="A11" s="44"/>
      <c r="B11" s="46"/>
      <c r="C11" s="1541" t="s">
        <v>1684</v>
      </c>
      <c r="D11" s="1541"/>
      <c r="E11" s="47"/>
      <c r="F11" s="44"/>
      <c r="G11" s="44"/>
      <c r="H11" s="44"/>
      <c r="I11" s="44"/>
      <c r="J11" s="44"/>
      <c r="K11" s="44"/>
      <c r="L11" s="44"/>
      <c r="M11" s="44"/>
      <c r="N11" s="44"/>
      <c r="O11" s="44"/>
      <c r="P11" s="44"/>
      <c r="Q11" s="44"/>
      <c r="R11" s="44"/>
      <c r="S11" s="44"/>
      <c r="T11" s="44"/>
      <c r="U11" s="44"/>
      <c r="V11" s="44"/>
      <c r="W11" s="44"/>
      <c r="X11" s="44"/>
    </row>
    <row r="12" spans="1:24" ht="33" x14ac:dyDescent="0.25">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
      <c r="A13" s="44"/>
      <c r="B13" s="46"/>
      <c r="C13" s="1541" t="s">
        <v>1686</v>
      </c>
      <c r="D13" s="1541"/>
      <c r="E13" s="47"/>
      <c r="F13" s="44"/>
      <c r="G13" s="44"/>
      <c r="H13" s="44"/>
      <c r="I13" s="44"/>
      <c r="J13" s="44"/>
      <c r="K13" s="44"/>
      <c r="L13" s="44"/>
      <c r="M13" s="44"/>
      <c r="N13" s="44"/>
      <c r="O13" s="44"/>
      <c r="P13" s="44"/>
      <c r="Q13" s="44"/>
      <c r="R13" s="44"/>
      <c r="S13" s="44"/>
      <c r="T13" s="44"/>
      <c r="U13" s="44"/>
      <c r="V13" s="44"/>
      <c r="W13" s="44"/>
      <c r="X13" s="44"/>
    </row>
    <row r="14" spans="1:24" ht="34.5" customHeight="1" x14ac:dyDescent="0.25">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5546875" defaultRowHeight="15.75" customHeight="1" x14ac:dyDescent="0.25"/>
  <cols>
    <col min="1" max="1" width="8.85546875" style="1027"/>
    <col min="2" max="2" width="22.5703125" style="1027" customWidth="1"/>
    <col min="3" max="3" width="37.5703125" style="1027" customWidth="1"/>
    <col min="4" max="4" width="30.85546875" style="1027" customWidth="1"/>
    <col min="5" max="5" width="11.85546875" style="1027" customWidth="1"/>
    <col min="6" max="6" width="16.42578125" style="1027" customWidth="1"/>
    <col min="7" max="7" width="10.85546875" style="1027" customWidth="1"/>
    <col min="8" max="8" width="14.5703125" style="1027" customWidth="1"/>
    <col min="9" max="9" width="10" style="1027" customWidth="1"/>
    <col min="10" max="10" width="13.85546875" style="1027" customWidth="1"/>
    <col min="11" max="11" width="11.42578125" style="1028" customWidth="1"/>
    <col min="12" max="12" width="2.28515625" style="1028" customWidth="1"/>
    <col min="13" max="13" width="7" style="1028" customWidth="1"/>
    <col min="14" max="14" width="7.28515625" style="1028" customWidth="1"/>
    <col min="15" max="15" width="9.28515625" style="1029" customWidth="1"/>
    <col min="16" max="16" width="2" style="1029" customWidth="1"/>
    <col min="17" max="17" width="6" style="1029" customWidth="1"/>
    <col min="18" max="18" width="8.42578125" style="1029" customWidth="1"/>
    <col min="19" max="19" width="9.140625" style="1030" customWidth="1"/>
    <col min="20" max="20" width="3" style="1030" customWidth="1"/>
    <col min="21" max="21" width="7.5703125" style="1030" customWidth="1"/>
    <col min="22" max="22" width="8.42578125" style="1030" customWidth="1"/>
    <col min="23" max="23" width="10.42578125" style="1031" customWidth="1"/>
    <col min="24" max="24" width="2.42578125" style="1031" customWidth="1"/>
    <col min="25" max="26" width="8.42578125" style="1031" customWidth="1"/>
    <col min="27" max="27" width="9.7109375" style="1032" customWidth="1"/>
    <col min="28" max="28" width="2.42578125" style="1032" customWidth="1"/>
    <col min="29" max="29" width="6" style="1032" customWidth="1"/>
    <col min="30" max="30" width="8.42578125" style="1032" customWidth="1"/>
    <col min="31" max="31" width="9" style="1033" customWidth="1"/>
    <col min="32" max="32" width="3.7109375" style="1033" customWidth="1"/>
    <col min="33" max="33" width="7.5703125" style="1033" customWidth="1"/>
    <col min="34" max="34" width="8.42578125" style="1033" customWidth="1"/>
    <col min="35" max="35" width="9.28515625" style="1034" customWidth="1"/>
    <col min="36" max="36" width="2" style="1034" customWidth="1"/>
    <col min="37" max="37" width="8.140625" style="1034" customWidth="1"/>
    <col min="38" max="38" width="8.42578125" style="1034" customWidth="1"/>
    <col min="39" max="39" width="10.28515625" style="1035" customWidth="1"/>
    <col min="40" max="40" width="2.28515625" style="1035" customWidth="1"/>
    <col min="41" max="41" width="6.140625" style="1035" customWidth="1"/>
    <col min="42" max="42" width="8.42578125" style="1035" customWidth="1"/>
    <col min="43" max="43" width="9.28515625" style="1030" customWidth="1"/>
    <col min="44" max="44" width="2.42578125" style="1030" customWidth="1"/>
    <col min="45" max="46" width="8.42578125" style="1030" customWidth="1"/>
    <col min="47" max="47" width="9.28515625" style="1036" customWidth="1"/>
    <col min="48" max="48" width="3" style="1036" customWidth="1"/>
    <col min="49" max="49" width="7.5703125" style="1036" customWidth="1"/>
    <col min="50" max="50" width="7.28515625" style="1036" customWidth="1"/>
    <col min="51" max="51" width="10" style="1037" customWidth="1"/>
    <col min="52" max="52" width="3.140625" style="1037" customWidth="1"/>
    <col min="53" max="54" width="8.42578125" style="1037" customWidth="1"/>
    <col min="55" max="55" width="9" style="1038" customWidth="1"/>
    <col min="56" max="56" width="3.85546875" style="1038" customWidth="1"/>
    <col min="57" max="57" width="7.5703125" style="1038" customWidth="1"/>
    <col min="58" max="58" width="8.42578125" style="1038" customWidth="1"/>
    <col min="59" max="60" width="14.42578125" style="1027" customWidth="1"/>
    <col min="61" max="61" width="1.85546875" style="1027" customWidth="1"/>
    <col min="62" max="16384" width="8.85546875" style="1027"/>
  </cols>
  <sheetData>
    <row r="1" spans="1:58" s="88" customFormat="1" ht="15.75" customHeight="1" x14ac:dyDescent="0.45">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25">
      <c r="B2" s="1024" t="s">
        <v>463</v>
      </c>
      <c r="C2" s="1025" t="e">
        <f>VLOOKUP(CONCATENATE('Ввод исходных данных'!$D$10,'Ввод исходных данных'!$D$11),Климатология!$D$9:$BF$548,$J$7,0)</f>
        <v>#N/A</v>
      </c>
      <c r="D2" s="1026"/>
      <c r="E2" s="88" t="e">
        <f>VLOOKUP(CONCATENATE('Ввод исходных данных'!$D$10,'Ввод исходных данных'!$D$11),Климатология!$D$9:$BF$548,E7,0)</f>
        <v>#N/A</v>
      </c>
      <c r="F2" s="88" t="e">
        <f>VLOOKUP(CONCATENATE('Ввод исходных данных'!$D$10,'Ввод исходных данных'!$D$11),Климатология!$D$9:$BF$548,F7,0)</f>
        <v>#N/A</v>
      </c>
      <c r="G2" s="88" t="e">
        <f>VLOOKUP(CONCATENATE('Ввод исходных данных'!$D$10,'Ввод исходных данных'!$D$11),Климатология!$D$9:$BF$548,G7,0)</f>
        <v>#N/A</v>
      </c>
      <c r="H2" s="88" t="e">
        <f>VLOOKUP(CONCATENATE('Ввод исходных данных'!$D$10,'Ввод исходных данных'!$D$11),Климатология!$D$9:$BF$548,H7,0)</f>
        <v>#N/A</v>
      </c>
      <c r="I2" s="88" t="e">
        <f>VLOOKUP(CONCATENATE('Ввод исходных данных'!$D$10,'Ввод исходных данных'!$D$11),Климатология!$D$9:$BF$548,I7,0)</f>
        <v>#N/A</v>
      </c>
      <c r="J2" s="88" t="e">
        <f>VLOOKUP(CONCATENATE('Ввод исходных данных'!$D$10,'Ввод исходных данных'!$D$11),Климатология!$D$9:$BF$548,J7,0)</f>
        <v>#N/A</v>
      </c>
      <c r="K2" s="88" t="e">
        <f>VLOOKUP(CONCATENATE('Ввод исходных данных'!$D$10,'Ввод исходных данных'!$D$11),Климатология!$D$9:$BF$548,K7,0)</f>
        <v>#N/A</v>
      </c>
      <c r="M2" s="88" t="e">
        <f>VLOOKUP(CONCATENATE('Ввод исходных данных'!$D$10,'Ввод исходных данных'!$D$11),Климатология!$D$9:$BF$548,M7,0)</f>
        <v>#N/A</v>
      </c>
      <c r="N2" s="88" t="e">
        <f>VLOOKUP(CONCATENATE('Ввод исходных данных'!$D$10,'Ввод исходных данных'!$D$11),Климатология!$D$9:$BF$548,N7,0)</f>
        <v>#N/A</v>
      </c>
      <c r="O2" s="88" t="e">
        <f>VLOOKUP(CONCATENATE('Ввод исходных данных'!$D$10,'Ввод исходных данных'!$D$11),Климатология!$D$9:$BF$548,O7,0)</f>
        <v>#N/A</v>
      </c>
      <c r="Q2" s="88" t="e">
        <f>VLOOKUP(CONCATENATE('Ввод исходных данных'!$D$10,'Ввод исходных данных'!$D$11),Климатология!$D$9:$BF$548,Q7,0)</f>
        <v>#N/A</v>
      </c>
      <c r="R2" s="88" t="e">
        <f>VLOOKUP(CONCATENATE('Ввод исходных данных'!$D$10,'Ввод исходных данных'!$D$11),Климатология!$D$9:$BF$548,R7,0)</f>
        <v>#N/A</v>
      </c>
      <c r="S2" s="88" t="e">
        <f>VLOOKUP(CONCATENATE('Ввод исходных данных'!$D$10,'Ввод исходных данных'!$D$11),Климатология!$D$9:$BF$548,S7,0)</f>
        <v>#N/A</v>
      </c>
      <c r="U2" s="88" t="e">
        <f>VLOOKUP(CONCATENATE('Ввод исходных данных'!$D$10,'Ввод исходных данных'!$D$11),Климатология!$D$9:$BF$548,U7,0)</f>
        <v>#N/A</v>
      </c>
      <c r="V2" s="88" t="e">
        <f>VLOOKUP(CONCATENATE('Ввод исходных данных'!$D$10,'Ввод исходных данных'!$D$11),Климатология!$D$9:$BF$548,V7,0)</f>
        <v>#N/A</v>
      </c>
      <c r="W2" s="88" t="e">
        <f>VLOOKUP(CONCATENATE('Ввод исходных данных'!$D$10,'Ввод исходных данных'!$D$11),Климатология!$D$9:$BF$548,W7,0)</f>
        <v>#N/A</v>
      </c>
      <c r="Y2" s="88" t="e">
        <f>VLOOKUP(CONCATENATE('Ввод исходных данных'!$D$10,'Ввод исходных данных'!$D$11),Климатология!$D$9:$BF$548,Y7,0)</f>
        <v>#N/A</v>
      </c>
      <c r="Z2" s="88" t="e">
        <f>VLOOKUP(CONCATENATE('Ввод исходных данных'!$D$10,'Ввод исходных данных'!$D$11),Климатология!$D$9:$BF$548,Z7,0)</f>
        <v>#N/A</v>
      </c>
      <c r="AA2" s="88" t="e">
        <f>VLOOKUP(CONCATENATE('Ввод исходных данных'!$D$10,'Ввод исходных данных'!$D$11),Климатология!$D$9:$BF$548,AA7,0)</f>
        <v>#N/A</v>
      </c>
      <c r="AC2" s="88" t="e">
        <f>VLOOKUP(CONCATENATE('Ввод исходных данных'!$D$10,'Ввод исходных данных'!$D$11),Климатология!$D$9:$BF$548,AC7,0)</f>
        <v>#N/A</v>
      </c>
      <c r="AD2" s="88" t="e">
        <f>VLOOKUP(CONCATENATE('Ввод исходных данных'!$D$10,'Ввод исходных данных'!$D$11),Климатология!$D$9:$BF$548,AD7,0)</f>
        <v>#N/A</v>
      </c>
      <c r="AE2" s="88" t="e">
        <f>VLOOKUP(CONCATENATE('Ввод исходных данных'!$D$10,'Ввод исходных данных'!$D$11),Климатология!$D$9:$BF$548,AE7,0)</f>
        <v>#N/A</v>
      </c>
      <c r="AG2" s="88" t="e">
        <f>VLOOKUP(CONCATENATE('Ввод исходных данных'!$D$10,'Ввод исходных данных'!$D$11),Климатология!$D$9:$BF$548,AG7,0)</f>
        <v>#N/A</v>
      </c>
      <c r="AH2" s="88" t="e">
        <f>VLOOKUP(CONCATENATE('Ввод исходных данных'!$D$10,'Ввод исходных данных'!$D$11),Климатология!$D$9:$BF$548,AH7,0)</f>
        <v>#N/A</v>
      </c>
      <c r="AI2" s="88" t="e">
        <f>VLOOKUP(CONCATENATE('Ввод исходных данных'!$D$10,'Ввод исходных данных'!$D$11),Климатология!$D$9:$BF$548,AI7,0)</f>
        <v>#N/A</v>
      </c>
      <c r="AK2" s="88" t="e">
        <f>VLOOKUP(CONCATENATE('Ввод исходных данных'!$D$10,'Ввод исходных данных'!$D$11),Климатология!$D$9:$BF$548,AK7,0)</f>
        <v>#N/A</v>
      </c>
      <c r="AL2" s="88" t="e">
        <f>VLOOKUP(CONCATENATE('Ввод исходных данных'!$D$10,'Ввод исходных данных'!$D$11),Климатология!$D$9:$BF$548,AL7,0)</f>
        <v>#N/A</v>
      </c>
      <c r="AM2" s="88" t="e">
        <f>VLOOKUP(CONCATENATE('Ввод исходных данных'!$D$10,'Ввод исходных данных'!$D$11),Климатология!$D$9:$BF$548,AM7,0)</f>
        <v>#N/A</v>
      </c>
      <c r="AO2" s="88" t="e">
        <f>VLOOKUP(CONCATENATE('Ввод исходных данных'!$D$10,'Ввод исходных данных'!$D$11),Климатология!$D$9:$BF$548,AO7,0)</f>
        <v>#N/A</v>
      </c>
      <c r="AP2" s="88" t="e">
        <f>VLOOKUP(CONCATENATE('Ввод исходных данных'!$D$10,'Ввод исходных данных'!$D$11),Климатология!$D$9:$BF$548,AP7,0)</f>
        <v>#N/A</v>
      </c>
      <c r="AQ2" s="88" t="e">
        <f>VLOOKUP(CONCATENATE('Ввод исходных данных'!$D$10,'Ввод исходных данных'!$D$11),Климатология!$D$9:$BF$548,AQ7,0)</f>
        <v>#N/A</v>
      </c>
      <c r="AS2" s="88" t="e">
        <f>VLOOKUP(CONCATENATE('Ввод исходных данных'!$D$10,'Ввод исходных данных'!$D$11),Климатология!$D$9:$BF$548,AS7,0)</f>
        <v>#N/A</v>
      </c>
      <c r="AT2" s="88" t="e">
        <f>VLOOKUP(CONCATENATE('Ввод исходных данных'!$D$10,'Ввод исходных данных'!$D$11),Климатология!$D$9:$BF$548,AT7,0)</f>
        <v>#N/A</v>
      </c>
      <c r="AU2" s="88" t="e">
        <f>VLOOKUP(CONCATENATE('Ввод исходных данных'!$D$10,'Ввод исходных данных'!$D$11),Климатология!$D$9:$BF$548,AU7,0)</f>
        <v>#N/A</v>
      </c>
      <c r="AW2" s="88" t="e">
        <f>VLOOKUP(CONCATENATE('Ввод исходных данных'!$D$10,'Ввод исходных данных'!$D$11),Климатология!$D$9:$BF$548,AW7,0)</f>
        <v>#N/A</v>
      </c>
      <c r="AX2" s="88" t="e">
        <f>VLOOKUP(CONCATENATE('Ввод исходных данных'!$D$10,'Ввод исходных данных'!$D$11),Климатология!$D$9:$BF$548,AX7,0)</f>
        <v>#N/A</v>
      </c>
      <c r="AY2" s="88" t="e">
        <f>VLOOKUP(CONCATENATE('Ввод исходных данных'!$D$10,'Ввод исходных данных'!$D$11),Климатология!$D$9:$BF$548,AY7,0)</f>
        <v>#N/A</v>
      </c>
      <c r="BA2" s="88" t="e">
        <f>VLOOKUP(CONCATENATE('Ввод исходных данных'!$D$10,'Ввод исходных данных'!$D$11),Климатология!$D$9:$BF$548,BA7,0)</f>
        <v>#N/A</v>
      </c>
      <c r="BB2" s="88" t="e">
        <f>VLOOKUP(CONCATENATE('Ввод исходных данных'!$D$10,'Ввод исходных данных'!$D$11),Климатология!$D$9:$BF$548,BB7,0)</f>
        <v>#N/A</v>
      </c>
      <c r="BC2" s="88" t="e">
        <f>VLOOKUP(CONCATENATE('Ввод исходных данных'!$D$10,'Ввод исходных данных'!$D$11),Климатология!$D$9:$BF$548,BC7,0)</f>
        <v>#N/A</v>
      </c>
      <c r="BE2" s="88" t="e">
        <f>VLOOKUP(CONCATENATE('Ввод исходных данных'!$D$10,'Ввод исходных данных'!$D$11),Климатология!$D$9:$BF$548,BE7,0)</f>
        <v>#N/A</v>
      </c>
      <c r="BF2" s="88" t="e">
        <f>VLOOKUP(CONCATENATE('Ввод исходных данных'!$D$10,'Ввод исходных данных'!$D$11),Климатология!$D$9:$BF$548,BF7,0)</f>
        <v>#N/A</v>
      </c>
    </row>
    <row r="3" spans="1:58" ht="15.75" customHeight="1" x14ac:dyDescent="0.25">
      <c r="C3" s="1027" t="str">
        <f>CONCATENATE('Ввод исходных данных'!$D$10,'Ввод исходных данных'!$D$11)</f>
        <v>Пожалуйста, выберитеПожалуйста, выберите</v>
      </c>
    </row>
    <row r="4" spans="1:58" ht="15.75" customHeight="1" x14ac:dyDescent="0.25">
      <c r="A4" s="87"/>
      <c r="B4" s="87"/>
      <c r="C4" s="87"/>
      <c r="D4" s="87"/>
      <c r="E4" s="87"/>
      <c r="F4" s="87"/>
      <c r="G4" s="87"/>
      <c r="H4" s="87"/>
      <c r="I4" s="87"/>
      <c r="J4" s="87"/>
    </row>
    <row r="5" spans="1:58" ht="15.75" customHeight="1" x14ac:dyDescent="0.25">
      <c r="A5" s="87"/>
      <c r="B5" s="87"/>
      <c r="C5" s="87"/>
      <c r="D5" s="87"/>
      <c r="E5" s="87"/>
      <c r="F5" s="87"/>
      <c r="G5" s="87"/>
      <c r="H5" s="87"/>
      <c r="I5" s="87"/>
      <c r="J5" s="87"/>
    </row>
    <row r="6" spans="1:58" ht="15.75" customHeight="1" x14ac:dyDescent="0.25">
      <c r="A6" s="87"/>
      <c r="B6" s="87"/>
      <c r="C6" s="87"/>
      <c r="D6" s="87"/>
      <c r="E6" s="87"/>
      <c r="F6" s="87"/>
      <c r="G6" s="87"/>
      <c r="H6" s="87"/>
      <c r="I6" s="87"/>
      <c r="J6" s="87"/>
      <c r="K6" s="1825" t="s">
        <v>720</v>
      </c>
      <c r="L6" s="1825"/>
      <c r="M6" s="1825"/>
      <c r="N6" s="1825"/>
      <c r="O6" s="1826" t="s">
        <v>721</v>
      </c>
      <c r="P6" s="1826"/>
      <c r="Q6" s="1826"/>
      <c r="R6" s="1826"/>
      <c r="S6" s="1827" t="s">
        <v>722</v>
      </c>
      <c r="T6" s="1827"/>
      <c r="U6" s="1827"/>
      <c r="V6" s="1827"/>
      <c r="W6" s="1831" t="s">
        <v>482</v>
      </c>
      <c r="X6" s="1831"/>
      <c r="Y6" s="1831"/>
      <c r="Z6" s="1831"/>
      <c r="AA6" s="1832" t="s">
        <v>486</v>
      </c>
      <c r="AB6" s="1832"/>
      <c r="AC6" s="1832"/>
      <c r="AD6" s="1832"/>
      <c r="AE6" s="1833" t="s">
        <v>487</v>
      </c>
      <c r="AF6" s="1833"/>
      <c r="AG6" s="1833"/>
      <c r="AH6" s="1833"/>
      <c r="AI6" s="1834" t="s">
        <v>488</v>
      </c>
      <c r="AJ6" s="1834"/>
      <c r="AK6" s="1834"/>
      <c r="AL6" s="1834"/>
      <c r="AM6" s="1835" t="s">
        <v>489</v>
      </c>
      <c r="AN6" s="1835"/>
      <c r="AO6" s="1835"/>
      <c r="AP6" s="1835"/>
      <c r="AQ6" s="1827" t="s">
        <v>490</v>
      </c>
      <c r="AR6" s="1827"/>
      <c r="AS6" s="1827"/>
      <c r="AT6" s="1827"/>
      <c r="AU6" s="1830" t="s">
        <v>491</v>
      </c>
      <c r="AV6" s="1830"/>
      <c r="AW6" s="1830"/>
      <c r="AX6" s="1830"/>
      <c r="AY6" s="1828" t="s">
        <v>724</v>
      </c>
      <c r="AZ6" s="1828"/>
      <c r="BA6" s="1828"/>
      <c r="BB6" s="1828"/>
      <c r="BC6" s="1829" t="s">
        <v>725</v>
      </c>
      <c r="BD6" s="1829"/>
      <c r="BE6" s="1829"/>
      <c r="BF6" s="1829"/>
    </row>
    <row r="7" spans="1:58" ht="15.75" customHeight="1" x14ac:dyDescent="0.25">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25">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25">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25">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25">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25">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25">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25">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25">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25">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25">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25">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25">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25">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25">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25">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25">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25">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25">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25">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25">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25">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25">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25">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25">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25">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25">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25">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25">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25">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25">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25">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25">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25">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25">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25">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25">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25">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25">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25">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25">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25">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25">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25">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25">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25">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25">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25">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25">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25">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25">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25">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25">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25">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25">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25">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25">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25">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25">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25">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25">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25">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25">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25">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25">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25">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25">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25">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25">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25">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25">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25">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25">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25">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25">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25">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25">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25">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25">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25">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25">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25">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25">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25">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25">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25">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25">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25">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25">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25">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25">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25">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25">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25">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25">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25">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25">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25">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25">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25">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25">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25">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25">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25">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25">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25">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25">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25">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25">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25">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25">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25">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25">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25">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25">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25">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25">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25">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25">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25">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25">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25">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25">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25">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25">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25">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25">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25">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25">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25">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25">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25">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25">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25">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25">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25">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25">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25">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25">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25">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25">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25">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25">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25">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25">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25">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25">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25">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25">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25">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25">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25">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25">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25">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25">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25">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25">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25">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25">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25">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25">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25">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25">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25">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25">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25">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25">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25">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25">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25">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25">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25">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25">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25">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25">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25">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25">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25">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25">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25">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25">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25">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25">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25">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25">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25">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25">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25">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25">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25">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25">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25">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25">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25">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25">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25">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25">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25">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25">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25">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25">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25">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25">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25">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25">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25">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25">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25">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25">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25">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25">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25">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25">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25">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25">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25">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25">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25">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25">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25">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25">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25">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25">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25">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25">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25">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25">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25">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25">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25">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25">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25">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25">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25">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25">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25">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25">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25">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25">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25">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25">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25">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25">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25">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25">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25">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25">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25">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25">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25">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25">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25">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25">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25">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25">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25">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25">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25">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25">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25">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25">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25">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25">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25">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25">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25">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25">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25">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25">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25">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25">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25">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25">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25">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25">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25">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25">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25">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25">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25">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25">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25">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25">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25">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25">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25">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25">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25">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25">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25">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25">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25">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25">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25">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25">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25">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25">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25">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25">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25">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25">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25">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25">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25">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25">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25">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25">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25">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25">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25">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25">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25">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25">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25">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25">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25">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25">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25">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25">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25">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25">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25">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25">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25">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25">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25">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25">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25">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25">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25">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25">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25">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25">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25">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25">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25">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25">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25">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25">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25">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25">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25">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25">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25">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25">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25">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25">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25">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25">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25">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25">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25">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25">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25">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25">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25">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25">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25">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25">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25">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25">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25">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25">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25">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25">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25">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25">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25">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25">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25">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25">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25">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25">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25">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25">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25">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25">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25">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25">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25">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25">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25">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25">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25">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25">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25">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25">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25">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25">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25">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25">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25">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25">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25">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25">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25">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25">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25">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25">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25">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25">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25">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25">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25">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25">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25">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25">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25">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25">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25">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25">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25">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25">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25">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25">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25">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25">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25">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25">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25">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25">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25">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25">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25">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25">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25">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25">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25">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25">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25">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25">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25">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25">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25">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25">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25">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25">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25">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25">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25">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25">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25">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25">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25">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25">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25">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25">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25">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25">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25">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25">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25">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25">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25">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25">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25">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25">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25">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25">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25">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25">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25">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25">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25">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25">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25">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25">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25">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25">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25">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25">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25">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25">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25">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25">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25">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25">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25">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25">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25">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25">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25">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25">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25">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25">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25">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25">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25">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25">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25">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25">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25">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25">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25">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25">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25">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25">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25">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25">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25">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25">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25">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25">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25">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25">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25">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25">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25">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25">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25">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25">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25">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25">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25">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25">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25">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25">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25">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25">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25">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25">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25">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25">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25">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25">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25">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25">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25">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25">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25">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25">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25">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25">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25">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25">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25">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25">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25">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25">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25">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25">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25">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25">
      <c r="C549" s="1107"/>
      <c r="D549" s="1107"/>
      <c r="E549" s="1107"/>
      <c r="F549" s="1107"/>
      <c r="G549" s="1107"/>
      <c r="H549" s="1107"/>
    </row>
    <row r="551" spans="2:58" ht="15.75" customHeight="1" x14ac:dyDescent="0.25">
      <c r="D551" s="1040"/>
    </row>
    <row r="596" spans="2:2" ht="15.75" customHeight="1" x14ac:dyDescent="0.25">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RowHeight="15" x14ac:dyDescent="0.25"/>
  <cols>
    <col min="1" max="1" width="43.7109375" style="88" customWidth="1"/>
    <col min="2" max="2" width="22.5703125" style="88" customWidth="1"/>
    <col min="3" max="3" width="27.28515625" style="88" customWidth="1"/>
    <col min="4" max="4" width="9.140625" style="88" customWidth="1"/>
    <col min="5" max="5" width="7.5703125" style="88" customWidth="1"/>
    <col min="6" max="6" width="4.140625" style="88" customWidth="1"/>
    <col min="7" max="8" width="7.5703125" style="88" customWidth="1"/>
    <col min="9" max="9" width="9.140625" style="88"/>
    <col min="10" max="10" width="11" style="88" customWidth="1"/>
    <col min="11" max="16" width="9.140625" style="88"/>
    <col min="17" max="17" width="17.28515625" style="88" customWidth="1"/>
    <col min="18" max="18" width="9.140625" style="88"/>
    <col min="19" max="19" width="9.5703125" style="88" bestFit="1" customWidth="1"/>
    <col min="20" max="20" width="9.140625" style="88"/>
    <col min="21" max="21" width="7.28515625" style="88" customWidth="1"/>
    <col min="22" max="27" width="9.140625" style="88"/>
    <col min="28" max="28" width="8.85546875" style="88" customWidth="1"/>
    <col min="29" max="34" width="9.140625" style="88"/>
    <col min="35" max="35" width="11.5703125" style="88" bestFit="1" customWidth="1"/>
    <col min="36" max="41" width="9.140625" style="88"/>
    <col min="42" max="42" width="7" style="88" customWidth="1"/>
    <col min="43" max="48" width="9.140625" style="88"/>
    <col min="49" max="49" width="8" style="88" customWidth="1"/>
    <col min="50" max="16384" width="9.140625" style="88"/>
  </cols>
  <sheetData>
    <row r="1" spans="1:59" ht="62.25" customHeight="1" x14ac:dyDescent="0.45">
      <c r="A1" s="1758" t="s">
        <v>1240</v>
      </c>
      <c r="B1" s="1758"/>
      <c r="C1" s="1758"/>
      <c r="D1" s="1758"/>
      <c r="E1" s="1758"/>
      <c r="F1" s="1758"/>
      <c r="G1" s="1758"/>
      <c r="H1" s="1758"/>
      <c r="I1" s="1758"/>
      <c r="J1" s="1758"/>
      <c r="K1" s="1758"/>
      <c r="L1" s="1758"/>
      <c r="M1" s="1758"/>
      <c r="N1" s="1758"/>
      <c r="O1" s="1758"/>
      <c r="P1" s="1758"/>
      <c r="Q1" s="1758"/>
      <c r="R1" s="1758"/>
      <c r="S1" s="1758"/>
      <c r="T1" s="1758"/>
      <c r="U1" s="1758"/>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75" thickBot="1" x14ac:dyDescent="0.3">
      <c r="A2" s="1109" t="str">
        <f>CONCATENATE(ROUNDDOWN('Ввод исходных данных'!D12/10,0)*10,"-",ROUNDUP('Ввод исходных данных'!D12/10,0)*10-1)</f>
        <v>0--1</v>
      </c>
      <c r="B2" s="108" t="s">
        <v>1558</v>
      </c>
      <c r="C2" s="1110" t="e">
        <f>'Ввод исходных данных'!$D$82-'Расчет базового уровня'!$D$145</f>
        <v>#N/A</v>
      </c>
      <c r="D2" s="87"/>
      <c r="E2" s="87"/>
      <c r="F2" s="87"/>
      <c r="G2" s="87"/>
      <c r="H2" s="87"/>
      <c r="I2" s="87"/>
      <c r="J2" s="87"/>
      <c r="K2" s="87"/>
      <c r="L2" s="87"/>
      <c r="M2" s="87"/>
      <c r="N2" s="87"/>
      <c r="O2" s="87"/>
      <c r="P2" s="87"/>
      <c r="Q2" s="87"/>
      <c r="R2" s="87"/>
      <c r="S2" s="87"/>
      <c r="T2" s="87"/>
      <c r="U2" s="87"/>
      <c r="V2" s="87"/>
    </row>
    <row r="3" spans="1:59" ht="37.5" customHeight="1" x14ac:dyDescent="0.25">
      <c r="A3" s="1845" t="s">
        <v>757</v>
      </c>
      <c r="B3" s="1847" t="s">
        <v>1388</v>
      </c>
      <c r="C3" s="1849" t="s">
        <v>1378</v>
      </c>
      <c r="D3" s="1850"/>
      <c r="E3" s="1850"/>
      <c r="F3" s="1850"/>
      <c r="G3" s="1850"/>
      <c r="H3" s="1851"/>
      <c r="I3" s="1852" t="s">
        <v>1379</v>
      </c>
      <c r="J3" s="1852"/>
      <c r="K3" s="1853"/>
      <c r="L3" s="87"/>
      <c r="M3" s="87"/>
      <c r="N3" s="87"/>
      <c r="O3" s="87"/>
      <c r="P3" s="87"/>
      <c r="Q3" s="87"/>
      <c r="R3" s="87"/>
      <c r="S3" s="87"/>
      <c r="T3" s="87"/>
      <c r="U3" s="87"/>
      <c r="V3" s="87"/>
    </row>
    <row r="4" spans="1:59" ht="45.95" customHeight="1" x14ac:dyDescent="0.25">
      <c r="A4" s="1846"/>
      <c r="B4" s="1848"/>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25">
      <c r="A5" s="1115" t="s">
        <v>1454</v>
      </c>
      <c r="B5" s="1116" t="str">
        <f>CONCATENATE(A5,C5)</f>
        <v>II-18керамзитобетон (блоки)</v>
      </c>
      <c r="C5" s="968" t="s">
        <v>1165</v>
      </c>
      <c r="D5" s="1117"/>
      <c r="E5" s="1117"/>
      <c r="F5" s="1118">
        <v>0.4</v>
      </c>
      <c r="G5" s="1117"/>
      <c r="H5" s="1117"/>
      <c r="I5" s="1119">
        <f>0.4/AVERAGE(H261:H268)+1/23+1/8.7</f>
        <v>0.94081687762475719</v>
      </c>
      <c r="J5" s="1120" t="e">
        <f>1*('Ввод исходных данных'!$D$82-'Расчет базового уровня'!$D$145)/(6*8.7)</f>
        <v>#N/A</v>
      </c>
      <c r="K5" s="1121" t="e">
        <f>MAX(I5:J5)</f>
        <v>#N/A</v>
      </c>
      <c r="L5" s="87"/>
      <c r="M5" s="87"/>
      <c r="N5" s="87"/>
      <c r="O5" s="87"/>
      <c r="P5" s="87"/>
      <c r="Q5" s="87"/>
      <c r="R5" s="87"/>
      <c r="S5" s="87"/>
      <c r="T5" s="87"/>
      <c r="U5" s="87"/>
      <c r="V5" s="87"/>
      <c r="W5" s="1122"/>
    </row>
    <row r="6" spans="1:59" s="1123" customFormat="1" ht="17.100000000000001" customHeight="1" x14ac:dyDescent="0.25">
      <c r="A6" s="1115" t="s">
        <v>1454</v>
      </c>
      <c r="B6" s="1116" t="str">
        <f t="shared" ref="B6:B32" si="0">CONCATENATE(A6,C6)</f>
        <v>II-18кирпич</v>
      </c>
      <c r="C6" s="968" t="s">
        <v>926</v>
      </c>
      <c r="D6" s="1117"/>
      <c r="E6" s="1117"/>
      <c r="F6" s="1118">
        <v>0.51</v>
      </c>
      <c r="G6" s="1117"/>
      <c r="H6" s="1117"/>
      <c r="I6" s="1119">
        <f>F6/H326+1/23+1/8.7</f>
        <v>0.88699221817662599</v>
      </c>
      <c r="J6" s="1120" t="e">
        <f>1*('Ввод исходных данных'!$D$82-'Расчет базового уровня'!$D$145)/(6*8.7)</f>
        <v>#N/A</v>
      </c>
      <c r="K6" s="1121" t="e">
        <f t="shared" ref="K6:K32" si="1">MAX(I6:J6)</f>
        <v>#N/A</v>
      </c>
      <c r="L6" s="87"/>
      <c r="M6" s="87"/>
      <c r="N6" s="87"/>
      <c r="O6" s="87"/>
      <c r="P6" s="87"/>
      <c r="Q6" s="87"/>
      <c r="R6" s="87"/>
      <c r="S6" s="87"/>
      <c r="T6" s="87"/>
      <c r="U6" s="87"/>
      <c r="V6" s="87"/>
      <c r="W6" s="1122"/>
    </row>
    <row r="7" spans="1:59" s="1123" customFormat="1" ht="17.100000000000001" customHeight="1" x14ac:dyDescent="0.25">
      <c r="A7" s="1115" t="s">
        <v>1456</v>
      </c>
      <c r="B7" s="1116" t="str">
        <f t="shared" si="0"/>
        <v>II-49железобетон</v>
      </c>
      <c r="C7" s="964" t="s">
        <v>1163</v>
      </c>
      <c r="D7" s="1124"/>
      <c r="E7" s="1124">
        <v>0.3</v>
      </c>
      <c r="F7" s="1118">
        <v>0.25</v>
      </c>
      <c r="G7" s="1124">
        <v>0.05</v>
      </c>
      <c r="H7" s="1124"/>
      <c r="I7" s="1125">
        <f>0.25/H348+0.05/H124+1/23+1/8.7</f>
        <v>1.0622198092130406</v>
      </c>
      <c r="J7" s="1120" t="e">
        <f>1*('Ввод исходных данных'!$D$82-'Расчет базового уровня'!$D$145)/(6*8.7)</f>
        <v>#N/A</v>
      </c>
      <c r="K7" s="1121" t="e">
        <f t="shared" si="1"/>
        <v>#N/A</v>
      </c>
      <c r="L7" s="87"/>
      <c r="M7" s="87"/>
      <c r="N7" s="87"/>
      <c r="O7" s="87"/>
      <c r="P7" s="87"/>
      <c r="Q7" s="87"/>
      <c r="R7" s="87"/>
      <c r="S7" s="87"/>
      <c r="T7" s="87"/>
      <c r="U7" s="87"/>
      <c r="V7" s="87"/>
      <c r="W7" s="1122"/>
    </row>
    <row r="8" spans="1:59" s="1123" customFormat="1" ht="17.100000000000001" customHeight="1" x14ac:dyDescent="0.25">
      <c r="A8" s="1115" t="s">
        <v>1456</v>
      </c>
      <c r="B8" s="1116" t="str">
        <f t="shared" si="0"/>
        <v>II-49керамзитобетон</v>
      </c>
      <c r="C8" s="964" t="s">
        <v>1164</v>
      </c>
      <c r="D8" s="1124"/>
      <c r="E8" s="1124">
        <v>0.34</v>
      </c>
      <c r="F8" s="1118"/>
      <c r="G8" s="1124"/>
      <c r="H8" s="1124"/>
      <c r="I8" s="1125">
        <f>0.34/AVERAGE($H$261:$H$268)+1/23+1/8.7</f>
        <v>0.82345746442182322</v>
      </c>
      <c r="J8" s="1120" t="e">
        <f>1*('Ввод исходных данных'!$D$82-'Расчет базового уровня'!$D$145)/(6*8.7)</f>
        <v>#N/A</v>
      </c>
      <c r="K8" s="1121" t="e">
        <f t="shared" si="1"/>
        <v>#N/A</v>
      </c>
      <c r="L8" s="87"/>
      <c r="M8" s="87"/>
      <c r="N8" s="87"/>
      <c r="O8" s="87"/>
      <c r="P8" s="87"/>
      <c r="Q8" s="87"/>
      <c r="R8" s="87"/>
      <c r="S8" s="87"/>
      <c r="T8" s="87"/>
      <c r="U8" s="87"/>
      <c r="V8" s="87"/>
      <c r="W8" s="1122"/>
    </row>
    <row r="9" spans="1:59" s="1123" customFormat="1" ht="17.100000000000001" customHeight="1" x14ac:dyDescent="0.25">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t="e">
        <f>1*('Ввод исходных данных'!$D$82-'Расчет базового уровня'!$D$145)/(6*8.7)</f>
        <v>#N/A</v>
      </c>
      <c r="K9" s="1121" t="e">
        <f t="shared" si="1"/>
        <v>#N/A</v>
      </c>
      <c r="L9" s="87"/>
      <c r="M9" s="87"/>
      <c r="N9" s="87"/>
      <c r="O9" s="87"/>
      <c r="P9" s="87"/>
      <c r="Q9" s="87"/>
      <c r="R9" s="87"/>
      <c r="S9" s="87"/>
      <c r="T9" s="87"/>
      <c r="U9" s="87"/>
      <c r="V9" s="87"/>
      <c r="W9" s="1122"/>
    </row>
    <row r="10" spans="1:59" s="1123" customFormat="1" ht="17.100000000000001" customHeight="1" x14ac:dyDescent="0.25">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t="e">
        <f>1*('Ввод исходных данных'!$D$82-'Расчет базового уровня'!$D$145)/(6*8.7)</f>
        <v>#N/A</v>
      </c>
      <c r="K10" s="1121" t="e">
        <f t="shared" si="1"/>
        <v>#N/A</v>
      </c>
      <c r="L10" s="87"/>
      <c r="M10" s="87"/>
      <c r="N10" s="87"/>
      <c r="O10" s="87"/>
      <c r="P10" s="87"/>
      <c r="Q10" s="87"/>
      <c r="R10" s="87"/>
      <c r="S10" s="87"/>
      <c r="T10" s="87"/>
      <c r="U10" s="87"/>
      <c r="V10" s="87"/>
      <c r="W10" s="1122"/>
    </row>
    <row r="11" spans="1:59" s="1123" customFormat="1" ht="17.100000000000001" customHeight="1" x14ac:dyDescent="0.25">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t="e">
        <f>1*('Ввод исходных данных'!$D$82-'Расчет базового уровня'!$D$145)/(6*8.7)</f>
        <v>#N/A</v>
      </c>
      <c r="K11" s="1121" t="e">
        <f t="shared" si="1"/>
        <v>#N/A</v>
      </c>
      <c r="L11" s="87"/>
      <c r="M11" s="87"/>
      <c r="N11" s="87"/>
      <c r="O11" s="87"/>
      <c r="P11" s="87"/>
      <c r="Q11" s="87"/>
      <c r="R11" s="87"/>
      <c r="S11" s="87"/>
      <c r="T11" s="87"/>
      <c r="U11" s="87"/>
      <c r="V11" s="87"/>
      <c r="W11" s="1122"/>
    </row>
    <row r="12" spans="1:59" s="1123" customFormat="1" ht="17.100000000000001" customHeight="1" x14ac:dyDescent="0.25">
      <c r="A12" s="994" t="s">
        <v>1453</v>
      </c>
      <c r="B12" s="1116" t="str">
        <f t="shared" si="0"/>
        <v>I-125железобетонная панель</v>
      </c>
      <c r="C12" s="964" t="s">
        <v>1459</v>
      </c>
      <c r="D12" s="1124"/>
      <c r="E12" s="1124"/>
      <c r="F12" s="1118"/>
      <c r="G12" s="1124"/>
      <c r="H12" s="1124"/>
      <c r="I12" s="1125">
        <f>(0.25/$H$348+0.05/$H$124+1/23+1/8.7)*0.8</f>
        <v>0.84977584737043255</v>
      </c>
      <c r="J12" s="1120" t="e">
        <f>1*('Ввод исходных данных'!$D$82-'Расчет базового уровня'!$D$145)/(6*8.7)</f>
        <v>#N/A</v>
      </c>
      <c r="K12" s="1121" t="e">
        <f t="shared" si="1"/>
        <v>#N/A</v>
      </c>
      <c r="L12" s="87"/>
      <c r="M12" s="87"/>
      <c r="N12" s="87"/>
      <c r="O12" s="87"/>
      <c r="P12" s="87"/>
      <c r="Q12" s="87"/>
      <c r="R12" s="87"/>
      <c r="S12" s="87"/>
      <c r="T12" s="87"/>
      <c r="U12" s="87"/>
      <c r="V12" s="87"/>
      <c r="W12" s="1122"/>
    </row>
    <row r="13" spans="1:59" s="1123" customFormat="1" ht="17.100000000000001" customHeight="1" x14ac:dyDescent="0.25">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t="e">
        <f>1*('Ввод исходных данных'!$D$82-'Расчет базового уровня'!$D$145)/(6*8.7)</f>
        <v>#N/A</v>
      </c>
      <c r="K13" s="1121" t="e">
        <f t="shared" si="1"/>
        <v>#N/A</v>
      </c>
      <c r="L13" s="87"/>
      <c r="M13" s="87"/>
      <c r="N13" s="87"/>
      <c r="O13" s="87"/>
      <c r="P13" s="87"/>
      <c r="Q13" s="87"/>
      <c r="R13" s="87"/>
      <c r="S13" s="87"/>
      <c r="T13" s="87"/>
      <c r="U13" s="87"/>
      <c r="V13" s="87"/>
      <c r="W13" s="1122"/>
    </row>
    <row r="14" spans="1:59" s="1123" customFormat="1" ht="17.100000000000001" customHeight="1" x14ac:dyDescent="0.25">
      <c r="A14" s="994" t="s">
        <v>1652</v>
      </c>
      <c r="B14" s="1116" t="str">
        <f t="shared" si="0"/>
        <v>I-447 (4,5 эт)кирпич</v>
      </c>
      <c r="C14" s="964" t="s">
        <v>926</v>
      </c>
      <c r="D14" s="1124"/>
      <c r="E14" s="1124"/>
      <c r="F14" s="1118"/>
      <c r="G14" s="1124"/>
      <c r="H14" s="1124"/>
      <c r="I14" s="1125">
        <f>0.4/H326+1/23+1/8.7</f>
        <v>0.72984936103376885</v>
      </c>
      <c r="J14" s="1120" t="e">
        <f>1*('Ввод исходных данных'!$D$82-'Расчет базового уровня'!$D$145)/(6*8.7)</f>
        <v>#N/A</v>
      </c>
      <c r="K14" s="1121" t="e">
        <f t="shared" si="1"/>
        <v>#N/A</v>
      </c>
      <c r="L14" s="87"/>
      <c r="M14" s="87"/>
      <c r="N14" s="87"/>
      <c r="O14" s="87"/>
      <c r="P14" s="87"/>
      <c r="Q14" s="87"/>
      <c r="R14" s="87"/>
      <c r="S14" s="87"/>
      <c r="T14" s="87"/>
      <c r="U14" s="87"/>
      <c r="V14" s="87"/>
      <c r="W14" s="1122"/>
    </row>
    <row r="15" spans="1:59" s="1123" customFormat="1" ht="17.100000000000001" customHeight="1" x14ac:dyDescent="0.25">
      <c r="A15" s="994" t="s">
        <v>1457</v>
      </c>
      <c r="B15" s="1116" t="str">
        <f t="shared" ref="B15" si="2">CONCATENATE(A15,C15)</f>
        <v>I-447С-26 (башня)кирпич</v>
      </c>
      <c r="C15" s="964" t="s">
        <v>926</v>
      </c>
      <c r="D15" s="1124"/>
      <c r="E15" s="1124"/>
      <c r="F15" s="1118"/>
      <c r="G15" s="1124"/>
      <c r="H15" s="1124"/>
      <c r="I15" s="1125">
        <f>0.4/H326+1/23+1/8.7</f>
        <v>0.72984936103376885</v>
      </c>
      <c r="J15" s="1120" t="e">
        <f>1*('Ввод исходных данных'!$D$82-'Расчет базового уровня'!$D$145)/(6*8.7)</f>
        <v>#N/A</v>
      </c>
      <c r="K15" s="1121" t="e">
        <f t="shared" ref="K15" si="3">MAX(I15:J15)</f>
        <v>#N/A</v>
      </c>
      <c r="L15" s="87"/>
      <c r="M15" s="87"/>
      <c r="N15" s="87"/>
      <c r="O15" s="87"/>
      <c r="P15" s="87"/>
      <c r="Q15" s="87"/>
      <c r="R15" s="87"/>
      <c r="S15" s="87"/>
      <c r="T15" s="87"/>
      <c r="U15" s="87"/>
      <c r="V15" s="87"/>
      <c r="W15" s="1122"/>
    </row>
    <row r="16" spans="1:59" s="1123" customFormat="1" ht="17.100000000000001" customHeight="1" x14ac:dyDescent="0.25">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t="e">
        <f>1*('Ввод исходных данных'!$D$82-'Расчет базового уровня'!$D$145)/(6*8.7)</f>
        <v>#N/A</v>
      </c>
      <c r="K16" s="1121" t="e">
        <f t="shared" si="1"/>
        <v>#N/A</v>
      </c>
      <c r="L16" s="87"/>
      <c r="M16" s="87"/>
      <c r="N16" s="87"/>
      <c r="O16" s="87"/>
      <c r="P16" s="87"/>
      <c r="Q16" s="87"/>
      <c r="R16" s="87"/>
      <c r="S16" s="87"/>
      <c r="T16" s="87"/>
      <c r="U16" s="87"/>
      <c r="V16" s="87"/>
      <c r="W16" s="1122"/>
    </row>
    <row r="17" spans="1:23" s="1123" customFormat="1" ht="17.100000000000001" customHeight="1" x14ac:dyDescent="0.25">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t="e">
        <f>1*('Ввод исходных данных'!$D$82-'Расчет базового уровня'!$D$145)/(6*8.7)</f>
        <v>#N/A</v>
      </c>
      <c r="K17" s="1121" t="e">
        <f t="shared" ref="K17" si="5">MAX(I17:J17)</f>
        <v>#N/A</v>
      </c>
      <c r="L17" s="87"/>
      <c r="M17" s="87"/>
      <c r="N17" s="87"/>
      <c r="O17" s="87"/>
      <c r="P17" s="87"/>
      <c r="Q17" s="87"/>
      <c r="R17" s="87"/>
      <c r="S17" s="87"/>
      <c r="T17" s="87"/>
      <c r="U17" s="87"/>
      <c r="V17" s="87"/>
      <c r="W17" s="1122"/>
    </row>
    <row r="18" spans="1:23" s="1123" customFormat="1" ht="17.100000000000001" customHeight="1" x14ac:dyDescent="0.25">
      <c r="A18" s="994" t="s">
        <v>1449</v>
      </c>
      <c r="B18" s="1116" t="str">
        <f t="shared" si="0"/>
        <v>I-510шлакобетон (блоки)</v>
      </c>
      <c r="C18" s="964" t="s">
        <v>1166</v>
      </c>
      <c r="D18" s="1124"/>
      <c r="E18" s="1124"/>
      <c r="F18" s="1118"/>
      <c r="G18" s="1124"/>
      <c r="H18" s="1124"/>
      <c r="I18" s="1125">
        <f>0.4/AVERAGE(H281:H285)+1/23+1/8.7</f>
        <v>0.89371490725225611</v>
      </c>
      <c r="J18" s="1120" t="e">
        <f>1*('Ввод исходных данных'!$D$82-'Расчет базового уровня'!$D$145)/(6*8.7)</f>
        <v>#N/A</v>
      </c>
      <c r="K18" s="1121" t="e">
        <f t="shared" si="1"/>
        <v>#N/A</v>
      </c>
      <c r="L18" s="87"/>
      <c r="M18" s="87"/>
      <c r="N18" s="87"/>
      <c r="O18" s="87"/>
      <c r="P18" s="87"/>
      <c r="Q18" s="87"/>
      <c r="R18" s="87"/>
      <c r="S18" s="87"/>
      <c r="T18" s="87"/>
      <c r="U18" s="87"/>
      <c r="V18" s="87"/>
      <c r="W18" s="1122"/>
    </row>
    <row r="19" spans="1:23" s="1123" customFormat="1" ht="17.100000000000001" customHeight="1" x14ac:dyDescent="0.25">
      <c r="A19" s="994" t="s">
        <v>1450</v>
      </c>
      <c r="B19" s="1116" t="str">
        <f t="shared" si="0"/>
        <v>I-511кирпич</v>
      </c>
      <c r="C19" s="964" t="s">
        <v>926</v>
      </c>
      <c r="D19" s="1124"/>
      <c r="E19" s="1124">
        <v>0.4</v>
      </c>
      <c r="F19" s="1118"/>
      <c r="G19" s="1124"/>
      <c r="H19" s="1124"/>
      <c r="I19" s="1125">
        <f>0.4/H326+1/23+1/8.7</f>
        <v>0.72984936103376885</v>
      </c>
      <c r="J19" s="1120" t="e">
        <f>1*('Ввод исходных данных'!$D$82-'Расчет базового уровня'!$D$145)/(6*8.7)</f>
        <v>#N/A</v>
      </c>
      <c r="K19" s="1121" t="e">
        <f t="shared" si="1"/>
        <v>#N/A</v>
      </c>
      <c r="L19" s="87"/>
      <c r="M19" s="87"/>
      <c r="N19" s="87"/>
      <c r="O19" s="87"/>
      <c r="P19" s="87"/>
      <c r="Q19" s="87"/>
      <c r="R19" s="87"/>
      <c r="S19" s="87"/>
      <c r="T19" s="87"/>
      <c r="U19" s="87"/>
      <c r="V19" s="87"/>
      <c r="W19" s="1122"/>
    </row>
    <row r="20" spans="1:23" s="1123" customFormat="1" ht="17.100000000000001" customHeight="1" x14ac:dyDescent="0.25">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t="e">
        <f>1*('Ввод исходных данных'!$D$82-'Расчет базового уровня'!$D$145)/(6*8.7)</f>
        <v>#N/A</v>
      </c>
      <c r="K20" s="1121" t="e">
        <f t="shared" si="1"/>
        <v>#N/A</v>
      </c>
      <c r="L20" s="87"/>
      <c r="M20" s="87"/>
      <c r="N20" s="87"/>
      <c r="O20" s="87"/>
      <c r="P20" s="87"/>
      <c r="Q20" s="87"/>
      <c r="R20" s="87"/>
      <c r="S20" s="87"/>
      <c r="T20" s="87"/>
      <c r="U20" s="87"/>
      <c r="V20" s="87"/>
      <c r="W20" s="1122"/>
    </row>
    <row r="21" spans="1:23" s="1123" customFormat="1" ht="17.100000000000001" customHeight="1" x14ac:dyDescent="0.25">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t="e">
        <f>1*('Ввод исходных данных'!$D$82-'Расчет базового уровня'!$D$145)/(6*8.7)</f>
        <v>#N/A</v>
      </c>
      <c r="K21" s="1121" t="e">
        <f t="shared" ref="K21" si="6">MAX(I21:J21)</f>
        <v>#N/A</v>
      </c>
      <c r="L21" s="87"/>
      <c r="M21" s="87"/>
      <c r="N21" s="87"/>
      <c r="O21" s="87"/>
      <c r="P21" s="87"/>
      <c r="Q21" s="87"/>
      <c r="R21" s="87"/>
      <c r="S21" s="87"/>
      <c r="T21" s="87"/>
      <c r="U21" s="87"/>
      <c r="V21" s="87"/>
      <c r="W21" s="1122"/>
    </row>
    <row r="22" spans="1:23" s="1123" customFormat="1" ht="17.100000000000001" customHeight="1" x14ac:dyDescent="0.25">
      <c r="A22" s="994" t="s">
        <v>609</v>
      </c>
      <c r="B22" s="1116" t="str">
        <f t="shared" si="0"/>
        <v>И-209Акерамзитобетон (блоки)</v>
      </c>
      <c r="C22" s="964" t="s">
        <v>1165</v>
      </c>
      <c r="D22" s="1124"/>
      <c r="E22" s="1124"/>
      <c r="F22" s="1118"/>
      <c r="G22" s="1124"/>
      <c r="H22" s="1124"/>
      <c r="I22" s="1125">
        <f>0.4/AVERAGE(H261:H268)+1/23+1/8.7</f>
        <v>0.94081687762475719</v>
      </c>
      <c r="J22" s="1120" t="e">
        <f>1*('Ввод исходных данных'!$D$82-'Расчет базового уровня'!$D$145)/(6*8.7)</f>
        <v>#N/A</v>
      </c>
      <c r="K22" s="1121" t="e">
        <f t="shared" si="1"/>
        <v>#N/A</v>
      </c>
      <c r="L22" s="87"/>
      <c r="M22" s="87"/>
      <c r="N22" s="87"/>
      <c r="O22" s="87"/>
      <c r="P22" s="87"/>
      <c r="Q22" s="87"/>
      <c r="R22" s="87"/>
      <c r="S22" s="87"/>
      <c r="T22" s="87"/>
      <c r="U22" s="87"/>
      <c r="V22" s="87"/>
      <c r="W22" s="1122"/>
    </row>
    <row r="23" spans="1:23" s="1123" customFormat="1" ht="17.100000000000001" customHeight="1" x14ac:dyDescent="0.25">
      <c r="A23" s="994" t="s">
        <v>1455</v>
      </c>
      <c r="B23" s="1116" t="str">
        <f t="shared" si="0"/>
        <v>II-29кирпич</v>
      </c>
      <c r="C23" s="1126" t="s">
        <v>926</v>
      </c>
      <c r="D23" s="1124"/>
      <c r="E23" s="1124"/>
      <c r="F23" s="1118"/>
      <c r="G23" s="1124"/>
      <c r="H23" s="1124"/>
      <c r="I23" s="1125">
        <f>AVERAGE(0.51)/H326+1/23+1/8.7</f>
        <v>0.88699221817662599</v>
      </c>
      <c r="J23" s="1120" t="e">
        <f>1*('Ввод исходных данных'!$D$82-'Расчет базового уровня'!$D$145)/(6*8.7)</f>
        <v>#N/A</v>
      </c>
      <c r="K23" s="1121" t="e">
        <f t="shared" si="1"/>
        <v>#N/A</v>
      </c>
      <c r="L23" s="87"/>
      <c r="M23" s="87"/>
      <c r="N23" s="87"/>
      <c r="O23" s="87"/>
      <c r="P23" s="87"/>
      <c r="Q23" s="87"/>
      <c r="R23" s="87"/>
      <c r="S23" s="87"/>
      <c r="T23" s="87"/>
      <c r="U23" s="87"/>
      <c r="V23" s="87"/>
      <c r="W23" s="1122"/>
    </row>
    <row r="24" spans="1:23" s="1123" customFormat="1" ht="17.100000000000001" customHeight="1" x14ac:dyDescent="0.25">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t="e">
        <f>1*('Ввод исходных данных'!$D$82-'Расчет базового уровня'!$D$145)/(6*8.7)</f>
        <v>#N/A</v>
      </c>
      <c r="K24" s="1121" t="e">
        <f t="shared" si="1"/>
        <v>#N/A</v>
      </c>
      <c r="L24" s="87"/>
      <c r="M24" s="87"/>
      <c r="N24" s="87"/>
      <c r="O24" s="87"/>
      <c r="P24" s="87"/>
      <c r="Q24" s="87"/>
      <c r="R24" s="87"/>
      <c r="S24" s="87"/>
      <c r="T24" s="87"/>
      <c r="U24" s="87"/>
      <c r="V24" s="87"/>
      <c r="W24" s="1122"/>
    </row>
    <row r="25" spans="1:23" s="1123" customFormat="1" ht="17.100000000000001" customHeight="1" x14ac:dyDescent="0.25">
      <c r="A25" s="1127" t="s">
        <v>1458</v>
      </c>
      <c r="B25" s="1116" t="str">
        <f t="shared" si="0"/>
        <v>II-68керамзитобетон (блоки)</v>
      </c>
      <c r="C25" s="964" t="s">
        <v>1165</v>
      </c>
      <c r="D25" s="1124"/>
      <c r="E25" s="1124"/>
      <c r="F25" s="1118"/>
      <c r="G25" s="1124"/>
      <c r="H25" s="1124"/>
      <c r="I25" s="1125">
        <f>0.4/AVERAGE(H261:H268)+1/23+1/8.7</f>
        <v>0.94081687762475719</v>
      </c>
      <c r="J25" s="1120" t="e">
        <f>1*('Ввод исходных данных'!$D$82-'Расчет базового уровня'!$D$145)/(6*8.7)</f>
        <v>#N/A</v>
      </c>
      <c r="K25" s="1121" t="e">
        <f t="shared" si="1"/>
        <v>#N/A</v>
      </c>
      <c r="L25" s="87"/>
      <c r="M25" s="87"/>
      <c r="N25" s="87"/>
      <c r="O25" s="87"/>
      <c r="P25" s="87"/>
      <c r="Q25" s="87"/>
      <c r="R25" s="87"/>
      <c r="S25" s="87"/>
      <c r="T25" s="87"/>
      <c r="U25" s="87"/>
      <c r="V25" s="87"/>
      <c r="W25" s="1122"/>
    </row>
    <row r="26" spans="1:23" s="1123" customFormat="1" ht="17.100000000000001" customHeight="1" x14ac:dyDescent="0.25">
      <c r="A26" s="1127" t="s">
        <v>445</v>
      </c>
      <c r="B26" s="1116" t="str">
        <f t="shared" si="0"/>
        <v>К-7железобетонная панель</v>
      </c>
      <c r="C26" s="964" t="s">
        <v>1459</v>
      </c>
      <c r="D26" s="1124"/>
      <c r="E26" s="1124"/>
      <c r="F26" s="1118"/>
      <c r="G26" s="1124"/>
      <c r="H26" s="1124"/>
      <c r="I26" s="1125">
        <f>I32</f>
        <v>0.84977584737043255</v>
      </c>
      <c r="J26" s="1120" t="e">
        <f>1*('Ввод исходных данных'!$D$82-'Расчет базового уровня'!$D$145)/(6*8.7)</f>
        <v>#N/A</v>
      </c>
      <c r="K26" s="1121" t="e">
        <f t="shared" ref="K26" si="7">MAX(I26:J26)</f>
        <v>#N/A</v>
      </c>
      <c r="L26" s="87"/>
      <c r="M26" s="87"/>
      <c r="N26" s="87"/>
      <c r="O26" s="87"/>
      <c r="P26" s="87"/>
      <c r="Q26" s="87"/>
      <c r="R26" s="87"/>
      <c r="S26" s="87"/>
      <c r="T26" s="87"/>
      <c r="U26" s="87"/>
      <c r="V26" s="87"/>
      <c r="W26" s="1122"/>
    </row>
    <row r="27" spans="1:23" s="1123" customFormat="1" ht="17.100000000000001" customHeight="1" x14ac:dyDescent="0.25">
      <c r="A27" s="994" t="s">
        <v>1168</v>
      </c>
      <c r="B27" s="1116" t="str">
        <f t="shared" si="0"/>
        <v>нет в спискекерамзитобетон (блоки)</v>
      </c>
      <c r="C27" s="964" t="s">
        <v>1165</v>
      </c>
      <c r="D27" s="1124"/>
      <c r="E27" s="1124"/>
      <c r="F27" s="1118"/>
      <c r="G27" s="1124"/>
      <c r="H27" s="1124"/>
      <c r="I27" s="1125">
        <f>I25</f>
        <v>0.94081687762475719</v>
      </c>
      <c r="J27" s="1120" t="e">
        <f>1*('Ввод исходных данных'!$D$82-'Расчет базового уровня'!$D$145)/(6*8.7)</f>
        <v>#N/A</v>
      </c>
      <c r="K27" s="1121" t="e">
        <f t="shared" si="1"/>
        <v>#N/A</v>
      </c>
      <c r="L27" s="87"/>
      <c r="M27" s="87"/>
      <c r="N27" s="87"/>
      <c r="O27" s="87"/>
      <c r="P27" s="87"/>
      <c r="Q27" s="87"/>
      <c r="R27" s="87"/>
      <c r="S27" s="87"/>
      <c r="T27" s="87"/>
      <c r="U27" s="87"/>
      <c r="V27" s="87"/>
      <c r="W27" s="1122"/>
    </row>
    <row r="28" spans="1:23" s="1123" customFormat="1" ht="17.100000000000001" customHeight="1" x14ac:dyDescent="0.25">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t="e">
        <f>1*('Ввод исходных данных'!$D$82-'Расчет базового уровня'!$D$145)/(6*8.7)</f>
        <v>#N/A</v>
      </c>
      <c r="K28" s="1121" t="e">
        <f t="shared" si="1"/>
        <v>#N/A</v>
      </c>
      <c r="L28" s="87"/>
      <c r="M28" s="87"/>
      <c r="N28" s="87"/>
      <c r="O28" s="87"/>
      <c r="P28" s="87"/>
      <c r="Q28" s="87"/>
      <c r="R28" s="87"/>
      <c r="S28" s="87"/>
      <c r="T28" s="87"/>
      <c r="U28" s="87"/>
      <c r="V28" s="87"/>
      <c r="W28" s="1122"/>
    </row>
    <row r="29" spans="1:23" s="1123" customFormat="1" ht="17.100000000000001" customHeight="1" x14ac:dyDescent="0.25">
      <c r="A29" s="994" t="s">
        <v>1168</v>
      </c>
      <c r="B29" s="1116" t="str">
        <f t="shared" si="0"/>
        <v>нет в спискекирпич</v>
      </c>
      <c r="C29" s="1126" t="s">
        <v>926</v>
      </c>
      <c r="D29" s="1124"/>
      <c r="E29" s="1124"/>
      <c r="F29" s="1118"/>
      <c r="G29" s="1124"/>
      <c r="H29" s="1124"/>
      <c r="I29" s="1125">
        <f>AVERAGE(0.51,0.64)/H326+1/23+1/8.7</f>
        <v>0.97984936103376874</v>
      </c>
      <c r="J29" s="1120" t="e">
        <f>1*('Ввод исходных данных'!$D$82-'Расчет базового уровня'!$D$145)/(6*8.7)</f>
        <v>#N/A</v>
      </c>
      <c r="K29" s="1121" t="e">
        <f t="shared" si="1"/>
        <v>#N/A</v>
      </c>
      <c r="L29" s="87"/>
      <c r="M29" s="87"/>
      <c r="N29" s="87"/>
      <c r="O29" s="87"/>
      <c r="P29" s="87"/>
      <c r="Q29" s="87"/>
      <c r="R29" s="87"/>
      <c r="S29" s="87"/>
      <c r="T29" s="87"/>
      <c r="U29" s="87"/>
      <c r="V29" s="87"/>
      <c r="W29" s="1122"/>
    </row>
    <row r="30" spans="1:23" s="1123" customFormat="1" ht="17.100000000000001" customHeight="1" x14ac:dyDescent="0.25">
      <c r="A30" s="994" t="s">
        <v>1168</v>
      </c>
      <c r="B30" s="1116" t="str">
        <f t="shared" si="0"/>
        <v>нет в спискешлакобетон (блоки)</v>
      </c>
      <c r="C30" s="964" t="s">
        <v>1166</v>
      </c>
      <c r="D30" s="1124"/>
      <c r="E30" s="1124"/>
      <c r="F30" s="1118"/>
      <c r="G30" s="1124"/>
      <c r="H30" s="1124"/>
      <c r="I30" s="1125">
        <f>I18</f>
        <v>0.89371490725225611</v>
      </c>
      <c r="J30" s="1120" t="e">
        <f>1*('Ввод исходных данных'!$D$82-'Расчет базового уровня'!$D$145)/(6*8.7)</f>
        <v>#N/A</v>
      </c>
      <c r="K30" s="1121" t="e">
        <f t="shared" si="1"/>
        <v>#N/A</v>
      </c>
      <c r="L30" s="87"/>
      <c r="M30" s="87"/>
      <c r="N30" s="87"/>
      <c r="O30" s="87"/>
      <c r="P30" s="87"/>
      <c r="Q30" s="87"/>
      <c r="R30" s="87"/>
      <c r="S30" s="87"/>
      <c r="T30" s="87"/>
      <c r="U30" s="87"/>
      <c r="V30" s="87"/>
      <c r="W30" s="1122"/>
    </row>
    <row r="31" spans="1:23" s="1123" customFormat="1" ht="17.100000000000001" customHeight="1" x14ac:dyDescent="0.25">
      <c r="A31" s="994" t="s">
        <v>1168</v>
      </c>
      <c r="B31" s="1116" t="str">
        <f t="shared" si="0"/>
        <v>нет в спискемонолит</v>
      </c>
      <c r="C31" s="964" t="s">
        <v>1535</v>
      </c>
      <c r="D31" s="1124"/>
      <c r="E31" s="1124"/>
      <c r="F31" s="1118"/>
      <c r="G31" s="1124"/>
      <c r="H31" s="1124"/>
      <c r="I31" s="1125" t="e">
        <f>J31</f>
        <v>#N/A</v>
      </c>
      <c r="J31" s="1120" t="e">
        <f>1*('Ввод исходных данных'!$D$82-'Расчет базового уровня'!$D$145)/(6*8.7)</f>
        <v>#N/A</v>
      </c>
      <c r="K31" s="1121" t="e">
        <f t="shared" ref="K31" si="8">MAX(I31:J31)</f>
        <v>#N/A</v>
      </c>
      <c r="L31" s="87"/>
      <c r="M31" s="87"/>
      <c r="N31" s="87"/>
      <c r="O31" s="87"/>
      <c r="P31" s="87"/>
      <c r="Q31" s="87"/>
      <c r="R31" s="87"/>
      <c r="S31" s="87"/>
      <c r="T31" s="87"/>
      <c r="U31" s="87"/>
      <c r="V31" s="87"/>
      <c r="W31" s="1122"/>
    </row>
    <row r="32" spans="1:23" s="1123" customFormat="1" ht="17.100000000000001" customHeight="1" x14ac:dyDescent="0.25">
      <c r="A32" s="994" t="s">
        <v>1168</v>
      </c>
      <c r="B32" s="1116" t="str">
        <f t="shared" si="0"/>
        <v>нет в спискежелезобетонная панель</v>
      </c>
      <c r="C32" s="964" t="s">
        <v>1459</v>
      </c>
      <c r="D32" s="1124"/>
      <c r="E32" s="1124"/>
      <c r="F32" s="1118"/>
      <c r="G32" s="1124"/>
      <c r="H32" s="1124"/>
      <c r="I32" s="1125">
        <f>I12</f>
        <v>0.84977584737043255</v>
      </c>
      <c r="J32" s="1120" t="e">
        <f>1*('Ввод исходных данных'!$D$82-'Расчет базового уровня'!$D$145)/(6*8.7)</f>
        <v>#N/A</v>
      </c>
      <c r="K32" s="1121" t="e">
        <f t="shared" si="1"/>
        <v>#N/A</v>
      </c>
      <c r="L32" s="87"/>
      <c r="M32" s="87"/>
      <c r="N32" s="87"/>
      <c r="O32" s="87"/>
      <c r="P32" s="87"/>
      <c r="Q32" s="87"/>
      <c r="R32" s="87"/>
      <c r="S32" s="87"/>
      <c r="T32" s="87"/>
      <c r="U32" s="87"/>
      <c r="V32" s="87"/>
      <c r="W32" s="1122"/>
    </row>
    <row r="33" spans="1:23" s="1123" customFormat="1" ht="17.100000000000001" customHeight="1" x14ac:dyDescent="0.25">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25">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25">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25">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25">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25">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25">
      <c r="A40" s="87"/>
      <c r="B40" s="87"/>
      <c r="C40" s="87"/>
      <c r="D40" s="87"/>
      <c r="E40" s="87"/>
      <c r="F40" s="87"/>
      <c r="G40" s="87"/>
      <c r="H40" s="87"/>
      <c r="I40" s="87"/>
      <c r="J40" s="87"/>
      <c r="K40" s="87"/>
      <c r="L40" s="87"/>
      <c r="M40" s="87"/>
      <c r="N40" s="87"/>
      <c r="O40" s="87"/>
      <c r="P40" s="87"/>
      <c r="Q40" s="87"/>
      <c r="R40" s="87"/>
      <c r="S40" s="87"/>
      <c r="T40" s="87"/>
      <c r="U40" s="87"/>
      <c r="V40" s="87"/>
    </row>
    <row r="41" spans="1:23" x14ac:dyDescent="0.25">
      <c r="A41" s="87"/>
      <c r="B41" s="87"/>
      <c r="C41" s="87"/>
      <c r="D41" s="87"/>
      <c r="E41" s="87"/>
      <c r="F41" s="87"/>
      <c r="G41" s="87"/>
      <c r="H41" s="87"/>
      <c r="I41" s="87"/>
      <c r="J41" s="87"/>
      <c r="K41" s="87"/>
      <c r="L41" s="87"/>
      <c r="M41" s="87"/>
      <c r="N41" s="87"/>
      <c r="O41" s="87"/>
      <c r="P41" s="87"/>
      <c r="Q41" s="87"/>
      <c r="R41" s="87"/>
      <c r="S41" s="87"/>
      <c r="T41" s="87"/>
      <c r="U41" s="87"/>
      <c r="V41" s="87"/>
    </row>
    <row r="42" spans="1:23" x14ac:dyDescent="0.25">
      <c r="A42" s="108"/>
      <c r="B42" s="108" t="s">
        <v>1530</v>
      </c>
      <c r="C42" s="1138"/>
      <c r="L42" s="87"/>
      <c r="M42" s="87"/>
      <c r="N42" s="87"/>
      <c r="O42" s="87"/>
      <c r="P42" s="87"/>
      <c r="Q42" s="87"/>
      <c r="R42" s="87"/>
      <c r="S42" s="87"/>
      <c r="T42" s="87"/>
      <c r="U42" s="87"/>
      <c r="V42" s="87"/>
    </row>
    <row r="43" spans="1:23" ht="18" customHeight="1" x14ac:dyDescent="0.25">
      <c r="A43" s="108" t="s">
        <v>514</v>
      </c>
      <c r="B43" s="1139" t="e">
        <f>1*('Ввод исходных данных'!$D$82-'Расчет базового уровня'!$D$145)/(6*8.7)</f>
        <v>#N/A</v>
      </c>
    </row>
    <row r="44" spans="1:23" x14ac:dyDescent="0.25">
      <c r="A44" s="108" t="s">
        <v>865</v>
      </c>
      <c r="B44" s="1139" t="e">
        <f>0.6*B43</f>
        <v>#N/A</v>
      </c>
    </row>
    <row r="45" spans="1:23" ht="15" customHeight="1" x14ac:dyDescent="0.3">
      <c r="A45" s="108" t="s">
        <v>864</v>
      </c>
      <c r="B45" s="1139" t="e">
        <f>IF(C2&gt;25,IF(C2&gt;44, IF(C2&gt;49,0.52,0.38),0.34), 0.17)</f>
        <v>#N/A</v>
      </c>
      <c r="I45" s="1140"/>
    </row>
    <row r="46" spans="1:23" x14ac:dyDescent="0.25">
      <c r="A46" s="287" t="s">
        <v>1337</v>
      </c>
      <c r="B46" s="1141">
        <v>1.32</v>
      </c>
    </row>
    <row r="47" spans="1:23" x14ac:dyDescent="0.25">
      <c r="A47" s="287" t="s">
        <v>1341</v>
      </c>
      <c r="B47" s="1141" t="e">
        <f>1*('Ввод исходных данных'!$D$82-'Расчет базового уровня'!$D$145)/(6*8.7)</f>
        <v>#N/A</v>
      </c>
    </row>
    <row r="48" spans="1:23" x14ac:dyDescent="0.25">
      <c r="A48" s="287" t="s">
        <v>1342</v>
      </c>
      <c r="B48" s="1141" t="e">
        <f>1*('Ввод исходных данных'!$D$82-'Расчет базового уровня'!$D$145)/(3*8.7)</f>
        <v>#N/A</v>
      </c>
    </row>
    <row r="49" spans="1:3" ht="17.25" customHeight="1" x14ac:dyDescent="0.25">
      <c r="A49" s="287" t="s">
        <v>1315</v>
      </c>
      <c r="B49" s="1141" t="e">
        <f>0.4*('Ввод исходных данных'!$D$82-'Расчет базового уровня'!$D$145)/(4*8.7)</f>
        <v>#N/A</v>
      </c>
    </row>
    <row r="50" spans="1:3" x14ac:dyDescent="0.25">
      <c r="A50" s="287" t="s">
        <v>1311</v>
      </c>
      <c r="B50" s="1141" t="e">
        <f>B43</f>
        <v>#N/A</v>
      </c>
    </row>
    <row r="51" spans="1:3" x14ac:dyDescent="0.25">
      <c r="A51" s="1142" t="s">
        <v>937</v>
      </c>
    </row>
    <row r="52" spans="1:3" ht="43.5" x14ac:dyDescent="0.25">
      <c r="A52" s="1143" t="s">
        <v>938</v>
      </c>
      <c r="B52" s="1144" t="s">
        <v>939</v>
      </c>
      <c r="C52" s="1145"/>
    </row>
    <row r="53" spans="1:3" x14ac:dyDescent="0.25">
      <c r="A53" s="1146"/>
      <c r="B53" s="1147" t="s">
        <v>971</v>
      </c>
      <c r="C53" s="1147" t="s">
        <v>932</v>
      </c>
    </row>
    <row r="54" spans="1:3" ht="22.5" x14ac:dyDescent="0.25">
      <c r="A54" s="1148" t="s">
        <v>940</v>
      </c>
      <c r="B54" s="1147">
        <v>0.4</v>
      </c>
      <c r="C54" s="1147"/>
    </row>
    <row r="55" spans="1:3" ht="22.5" x14ac:dyDescent="0.25">
      <c r="A55" s="1148" t="s">
        <v>941</v>
      </c>
      <c r="B55" s="1147">
        <v>0.44</v>
      </c>
      <c r="C55" s="1149">
        <v>0.34</v>
      </c>
    </row>
    <row r="56" spans="1:3" ht="22.5" x14ac:dyDescent="0.25">
      <c r="A56" s="1150" t="s">
        <v>942</v>
      </c>
      <c r="B56" s="1151"/>
      <c r="C56" s="1152"/>
    </row>
    <row r="57" spans="1:3" ht="24.75" customHeight="1" x14ac:dyDescent="0.25">
      <c r="A57" s="1153" t="s">
        <v>943</v>
      </c>
      <c r="B57" s="1154" t="s">
        <v>945</v>
      </c>
      <c r="C57" s="1155"/>
    </row>
    <row r="58" spans="1:3" x14ac:dyDescent="0.25">
      <c r="A58" s="1153" t="s">
        <v>944</v>
      </c>
      <c r="B58" s="1154" t="s">
        <v>946</v>
      </c>
      <c r="C58" s="1155"/>
    </row>
    <row r="59" spans="1:3" ht="22.5" customHeight="1" x14ac:dyDescent="0.25">
      <c r="A59" s="1148" t="s">
        <v>947</v>
      </c>
      <c r="B59" s="1156" t="s">
        <v>945</v>
      </c>
      <c r="C59" s="1157"/>
    </row>
    <row r="60" spans="1:3" ht="22.5" x14ac:dyDescent="0.25">
      <c r="A60" s="1148" t="s">
        <v>948</v>
      </c>
      <c r="B60" s="1147">
        <v>0.36</v>
      </c>
      <c r="C60" s="1147"/>
    </row>
    <row r="61" spans="1:3" ht="22.5" x14ac:dyDescent="0.25">
      <c r="A61" s="1148" t="s">
        <v>949</v>
      </c>
      <c r="B61" s="1147">
        <v>0.52</v>
      </c>
      <c r="C61" s="1147"/>
    </row>
    <row r="62" spans="1:3" ht="25.5" customHeight="1" x14ac:dyDescent="0.25">
      <c r="A62" s="1148" t="s">
        <v>950</v>
      </c>
      <c r="B62" s="1147">
        <v>0.55000000000000004</v>
      </c>
      <c r="C62" s="1147">
        <v>0.46</v>
      </c>
    </row>
    <row r="63" spans="1:3" x14ac:dyDescent="0.25">
      <c r="A63" s="1158" t="s">
        <v>951</v>
      </c>
      <c r="B63" s="1159"/>
      <c r="C63" s="1159"/>
    </row>
    <row r="64" spans="1:3" x14ac:dyDescent="0.25">
      <c r="A64" s="1160" t="s">
        <v>952</v>
      </c>
      <c r="B64" s="1153">
        <v>0.38</v>
      </c>
      <c r="C64" s="1153">
        <v>0.34</v>
      </c>
    </row>
    <row r="65" spans="1:15" x14ac:dyDescent="0.25">
      <c r="A65" s="1160" t="s">
        <v>953</v>
      </c>
      <c r="B65" s="1153">
        <v>0.51</v>
      </c>
      <c r="C65" s="1153">
        <v>0.43</v>
      </c>
    </row>
    <row r="66" spans="1:15" ht="36.75" customHeight="1" x14ac:dyDescent="0.25">
      <c r="A66" s="1161" t="s">
        <v>954</v>
      </c>
      <c r="B66" s="1162">
        <v>0.56000000000000005</v>
      </c>
      <c r="C66" s="1162">
        <v>0.47</v>
      </c>
    </row>
    <row r="67" spans="1:15" ht="36.75" customHeight="1" x14ac:dyDescent="0.25">
      <c r="A67" s="1158" t="s">
        <v>955</v>
      </c>
      <c r="B67" s="1159"/>
      <c r="C67" s="1159"/>
    </row>
    <row r="68" spans="1:15" ht="22.5" x14ac:dyDescent="0.25">
      <c r="A68" s="1160" t="s">
        <v>956</v>
      </c>
      <c r="B68" s="1153">
        <v>0.51</v>
      </c>
      <c r="C68" s="1153">
        <v>0.43</v>
      </c>
    </row>
    <row r="69" spans="1:15" ht="22.5" x14ac:dyDescent="0.25">
      <c r="A69" s="1160" t="s">
        <v>957</v>
      </c>
      <c r="B69" s="1153">
        <v>0.54</v>
      </c>
      <c r="C69" s="1153">
        <v>0.45</v>
      </c>
    </row>
    <row r="70" spans="1:15" x14ac:dyDescent="0.25">
      <c r="A70" s="1160" t="s">
        <v>953</v>
      </c>
      <c r="B70" s="1153">
        <v>0.57999999999999996</v>
      </c>
      <c r="C70" s="1153">
        <v>0.48</v>
      </c>
    </row>
    <row r="71" spans="1:15" x14ac:dyDescent="0.25">
      <c r="A71" s="1160" t="s">
        <v>954</v>
      </c>
      <c r="B71" s="1153">
        <v>0.68</v>
      </c>
      <c r="C71" s="1153">
        <v>0.52</v>
      </c>
    </row>
    <row r="72" spans="1:15" ht="22.5" x14ac:dyDescent="0.25">
      <c r="A72" s="1161" t="s">
        <v>958</v>
      </c>
      <c r="B72" s="1162">
        <v>0.65</v>
      </c>
      <c r="C72" s="1162">
        <v>0.53</v>
      </c>
    </row>
    <row r="73" spans="1:15" ht="22.5" customHeight="1" x14ac:dyDescent="0.25">
      <c r="A73" s="1839" t="s">
        <v>959</v>
      </c>
      <c r="B73" s="1840"/>
      <c r="C73" s="1841"/>
    </row>
    <row r="74" spans="1:15" ht="45" customHeight="1" x14ac:dyDescent="0.25">
      <c r="A74" s="1160" t="s">
        <v>952</v>
      </c>
      <c r="B74" s="1153">
        <v>0.56000000000000005</v>
      </c>
      <c r="C74" s="1153"/>
    </row>
    <row r="75" spans="1:15" ht="56.25" customHeight="1" x14ac:dyDescent="0.25">
      <c r="A75" s="1160" t="s">
        <v>953</v>
      </c>
      <c r="B75" s="1153">
        <v>0.65</v>
      </c>
      <c r="C75" s="1153"/>
    </row>
    <row r="76" spans="1:15" ht="33.75" customHeight="1" x14ac:dyDescent="0.25">
      <c r="A76" s="1160" t="s">
        <v>954</v>
      </c>
      <c r="B76" s="1153">
        <v>0.72</v>
      </c>
      <c r="C76" s="1153"/>
    </row>
    <row r="77" spans="1:15" ht="22.5" x14ac:dyDescent="0.25">
      <c r="A77" s="1160" t="s">
        <v>958</v>
      </c>
      <c r="B77" s="1162">
        <v>0.69</v>
      </c>
      <c r="C77" s="1162"/>
    </row>
    <row r="78" spans="1:15" x14ac:dyDescent="0.25">
      <c r="A78" s="1839" t="s">
        <v>960</v>
      </c>
      <c r="B78" s="1840"/>
      <c r="C78" s="1841"/>
    </row>
    <row r="79" spans="1:15" x14ac:dyDescent="0.25">
      <c r="A79" s="1160" t="s">
        <v>952</v>
      </c>
      <c r="B79" s="1153">
        <v>0.68</v>
      </c>
      <c r="C79" s="1153" t="s">
        <v>746</v>
      </c>
    </row>
    <row r="80" spans="1:15" s="1163" customFormat="1" ht="13.5" customHeight="1" x14ac:dyDescent="0.25">
      <c r="A80" s="1160" t="s">
        <v>953</v>
      </c>
      <c r="B80" s="1153">
        <v>0.74</v>
      </c>
      <c r="C80" s="1153" t="s">
        <v>746</v>
      </c>
      <c r="D80" s="88"/>
      <c r="E80" s="88"/>
      <c r="F80" s="88"/>
      <c r="G80" s="88"/>
      <c r="H80" s="88"/>
      <c r="I80" s="88"/>
      <c r="J80" s="88"/>
      <c r="K80" s="88"/>
      <c r="L80" s="88"/>
      <c r="M80" s="88"/>
      <c r="N80" s="88"/>
      <c r="O80" s="88"/>
    </row>
    <row r="81" spans="1:15" s="1163" customFormat="1" ht="13.5" customHeight="1" x14ac:dyDescent="0.25">
      <c r="A81" s="1160" t="s">
        <v>954</v>
      </c>
      <c r="B81" s="1153">
        <v>0.81</v>
      </c>
      <c r="C81" s="1153" t="s">
        <v>746</v>
      </c>
      <c r="D81" s="88"/>
      <c r="E81" s="88"/>
      <c r="F81" s="88"/>
      <c r="G81" s="88"/>
      <c r="H81" s="88"/>
      <c r="I81" s="88"/>
      <c r="J81" s="88"/>
      <c r="K81" s="88"/>
      <c r="L81" s="88"/>
      <c r="M81" s="88"/>
      <c r="N81" s="88"/>
      <c r="O81" s="88"/>
    </row>
    <row r="82" spans="1:15" s="1163" customFormat="1" ht="13.5" customHeight="1" x14ac:dyDescent="0.25">
      <c r="A82" s="1160" t="s">
        <v>958</v>
      </c>
      <c r="B82" s="1162">
        <v>0.82</v>
      </c>
      <c r="C82" s="1162" t="s">
        <v>746</v>
      </c>
      <c r="D82" s="88"/>
      <c r="E82" s="88"/>
      <c r="F82" s="88"/>
      <c r="G82" s="88"/>
      <c r="H82" s="88"/>
      <c r="I82" s="88"/>
      <c r="J82" s="88"/>
      <c r="K82" s="88"/>
      <c r="L82" s="88"/>
      <c r="M82" s="88"/>
      <c r="N82" s="88"/>
      <c r="O82" s="88"/>
    </row>
    <row r="83" spans="1:15" s="1163" customFormat="1" ht="13.5" customHeight="1" x14ac:dyDescent="0.25">
      <c r="A83" s="1164" t="s">
        <v>961</v>
      </c>
      <c r="B83" s="1147">
        <v>0.7</v>
      </c>
      <c r="C83" s="1147" t="s">
        <v>746</v>
      </c>
      <c r="D83" s="88"/>
      <c r="E83" s="88"/>
      <c r="F83" s="88"/>
      <c r="G83" s="88"/>
      <c r="H83" s="88"/>
      <c r="I83" s="88"/>
      <c r="J83" s="88"/>
      <c r="K83" s="88"/>
      <c r="L83" s="88"/>
      <c r="M83" s="88"/>
      <c r="N83" s="88"/>
      <c r="O83" s="88"/>
    </row>
    <row r="84" spans="1:15" s="1163" customFormat="1" ht="13.5" customHeight="1" x14ac:dyDescent="0.25">
      <c r="A84" s="1148" t="s">
        <v>962</v>
      </c>
      <c r="B84" s="1147">
        <v>0.74</v>
      </c>
      <c r="C84" s="1147" t="s">
        <v>746</v>
      </c>
      <c r="D84" s="88"/>
      <c r="E84" s="88"/>
      <c r="F84" s="88"/>
      <c r="G84" s="88"/>
      <c r="H84" s="88"/>
      <c r="I84" s="88"/>
      <c r="J84" s="88"/>
      <c r="K84" s="88"/>
      <c r="L84" s="88"/>
      <c r="M84" s="88"/>
      <c r="N84" s="88"/>
      <c r="O84" s="88"/>
    </row>
    <row r="85" spans="1:15" s="1163" customFormat="1" ht="13.5" customHeight="1" x14ac:dyDescent="0.25">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25">
      <c r="A86" s="1165" t="s">
        <v>965</v>
      </c>
      <c r="B86" s="1166"/>
      <c r="C86" s="1167"/>
      <c r="D86" s="88"/>
      <c r="E86" s="88"/>
      <c r="F86" s="88"/>
      <c r="G86" s="88"/>
      <c r="H86" s="88"/>
      <c r="I86" s="88"/>
      <c r="J86" s="88"/>
      <c r="K86" s="88"/>
      <c r="L86" s="88"/>
      <c r="M86" s="88"/>
      <c r="N86" s="88"/>
      <c r="O86" s="88"/>
    </row>
    <row r="87" spans="1:15" s="1163" customFormat="1" ht="13.5" customHeight="1" x14ac:dyDescent="0.25">
      <c r="A87" s="1168"/>
      <c r="B87" s="1169"/>
      <c r="C87" s="1170"/>
      <c r="D87" s="88"/>
      <c r="E87" s="88"/>
      <c r="F87" s="88"/>
      <c r="G87" s="88"/>
      <c r="H87" s="88"/>
      <c r="I87" s="88"/>
      <c r="J87" s="88"/>
      <c r="K87" s="88"/>
      <c r="L87" s="88"/>
      <c r="M87" s="88"/>
      <c r="N87" s="88"/>
      <c r="O87" s="88"/>
    </row>
    <row r="88" spans="1:15" s="1163" customFormat="1" ht="13.5" customHeight="1" x14ac:dyDescent="0.25">
      <c r="A88" s="1171" t="s">
        <v>966</v>
      </c>
      <c r="B88" s="1172"/>
      <c r="C88" s="1173"/>
      <c r="D88" s="88"/>
      <c r="E88" s="88"/>
      <c r="F88" s="88"/>
      <c r="G88" s="88"/>
      <c r="H88" s="88"/>
      <c r="I88" s="88"/>
      <c r="J88" s="88"/>
      <c r="K88" s="88"/>
      <c r="L88" s="88"/>
      <c r="M88" s="88"/>
      <c r="N88" s="88"/>
      <c r="O88" s="88"/>
    </row>
    <row r="89" spans="1:15" s="1163" customFormat="1" ht="13.5" customHeight="1" x14ac:dyDescent="0.25">
      <c r="A89" s="1842" t="s">
        <v>967</v>
      </c>
      <c r="B89" s="1843"/>
      <c r="C89" s="1844"/>
      <c r="D89" s="88"/>
      <c r="E89" s="88"/>
      <c r="F89" s="88"/>
      <c r="G89" s="88"/>
      <c r="H89" s="88"/>
      <c r="I89" s="88"/>
      <c r="J89" s="88"/>
      <c r="K89" s="88"/>
      <c r="L89" s="88"/>
      <c r="M89" s="88"/>
      <c r="N89" s="88"/>
      <c r="O89" s="88"/>
    </row>
    <row r="90" spans="1:15" s="1163" customFormat="1" ht="13.5" customHeight="1" x14ac:dyDescent="0.25">
      <c r="A90" s="1842" t="s">
        <v>968</v>
      </c>
      <c r="B90" s="1843"/>
      <c r="C90" s="1844"/>
      <c r="D90" s="88"/>
      <c r="E90" s="88"/>
      <c r="F90" s="88"/>
      <c r="G90" s="88"/>
      <c r="H90" s="88"/>
      <c r="I90" s="88"/>
      <c r="J90" s="88"/>
      <c r="K90" s="88"/>
      <c r="L90" s="88"/>
      <c r="M90" s="88"/>
      <c r="N90" s="88"/>
      <c r="O90" s="88"/>
    </row>
    <row r="91" spans="1:15" s="1163" customFormat="1" ht="13.5" customHeight="1" x14ac:dyDescent="0.25">
      <c r="A91" s="1842" t="s">
        <v>969</v>
      </c>
      <c r="B91" s="1843"/>
      <c r="C91" s="1844"/>
      <c r="D91" s="88"/>
      <c r="E91" s="88"/>
      <c r="F91" s="88"/>
      <c r="G91" s="88"/>
      <c r="H91" s="88"/>
      <c r="I91" s="88"/>
      <c r="J91" s="88"/>
      <c r="K91" s="88"/>
      <c r="L91" s="88"/>
      <c r="M91" s="88"/>
      <c r="N91" s="88"/>
      <c r="O91" s="88"/>
    </row>
    <row r="92" spans="1:15" s="1163" customFormat="1" ht="13.5" customHeight="1" x14ac:dyDescent="0.25">
      <c r="A92" s="1836" t="s">
        <v>970</v>
      </c>
      <c r="B92" s="1837"/>
      <c r="C92" s="1838"/>
      <c r="D92" s="88"/>
      <c r="E92" s="88"/>
      <c r="F92" s="88"/>
      <c r="G92" s="88"/>
      <c r="H92" s="88"/>
      <c r="I92" s="88"/>
      <c r="J92" s="88"/>
      <c r="K92" s="88"/>
      <c r="L92" s="88"/>
      <c r="M92" s="88"/>
      <c r="N92" s="88"/>
      <c r="O92" s="88"/>
    </row>
    <row r="93" spans="1:15" s="1163" customFormat="1" ht="13.5" customHeight="1" x14ac:dyDescent="0.25">
      <c r="A93" s="88"/>
      <c r="B93" s="88"/>
      <c r="C93" s="88"/>
      <c r="D93" s="88"/>
      <c r="E93" s="88"/>
      <c r="F93" s="88"/>
      <c r="G93" s="88"/>
      <c r="H93" s="88"/>
      <c r="I93" s="88"/>
      <c r="J93" s="88"/>
      <c r="K93" s="88"/>
      <c r="L93" s="88"/>
      <c r="M93" s="88"/>
      <c r="N93" s="88"/>
      <c r="O93" s="88"/>
    </row>
    <row r="94" spans="1:15" s="1163" customFormat="1" ht="13.5" customHeight="1" x14ac:dyDescent="0.25">
      <c r="A94" s="88"/>
      <c r="B94" s="88"/>
      <c r="C94" s="88"/>
      <c r="D94" s="88"/>
      <c r="E94" s="88"/>
      <c r="F94" s="88"/>
      <c r="G94" s="88"/>
      <c r="H94" s="88"/>
      <c r="I94" s="88"/>
      <c r="J94" s="88"/>
      <c r="K94" s="88"/>
      <c r="L94" s="88"/>
      <c r="M94" s="88"/>
      <c r="N94" s="88"/>
      <c r="O94" s="88"/>
    </row>
    <row r="95" spans="1:15" s="1163" customFormat="1" ht="13.5" customHeight="1" x14ac:dyDescent="0.25">
      <c r="A95" s="88"/>
      <c r="B95" s="88"/>
      <c r="C95" s="88"/>
      <c r="D95" s="88"/>
      <c r="E95" s="88"/>
      <c r="F95" s="88"/>
      <c r="G95" s="88"/>
      <c r="H95" s="88"/>
      <c r="I95" s="88"/>
      <c r="J95" s="88"/>
      <c r="K95" s="88"/>
      <c r="L95" s="88"/>
      <c r="M95" s="88"/>
      <c r="N95" s="88"/>
      <c r="O95" s="88"/>
    </row>
    <row r="96" spans="1:15" s="1163" customFormat="1" ht="13.5" customHeight="1" x14ac:dyDescent="0.25">
      <c r="A96" s="1854" t="s">
        <v>901</v>
      </c>
      <c r="B96" s="1855" t="s">
        <v>1005</v>
      </c>
      <c r="C96" s="1855"/>
      <c r="D96" s="1855"/>
      <c r="E96" s="1855" t="s">
        <v>1006</v>
      </c>
      <c r="F96" s="1855"/>
      <c r="G96" s="1855"/>
      <c r="H96" s="1855"/>
    </row>
    <row r="97" spans="1:8" s="1163" customFormat="1" ht="13.5" customHeight="1" x14ac:dyDescent="0.25">
      <c r="A97" s="1854"/>
      <c r="B97" s="1174" t="s">
        <v>1007</v>
      </c>
      <c r="C97" s="1855" t="s">
        <v>1009</v>
      </c>
      <c r="D97" s="1862" t="s">
        <v>1010</v>
      </c>
      <c r="E97" s="1855" t="s">
        <v>1012</v>
      </c>
      <c r="F97" s="1855"/>
      <c r="G97" s="1855" t="s">
        <v>1015</v>
      </c>
      <c r="H97" s="1855"/>
    </row>
    <row r="98" spans="1:8" s="1163" customFormat="1" ht="13.5" customHeight="1" x14ac:dyDescent="0.25">
      <c r="A98" s="1854"/>
      <c r="B98" s="1174" t="s">
        <v>1008</v>
      </c>
      <c r="C98" s="1855"/>
      <c r="D98" s="1863"/>
      <c r="E98" s="1855" t="s">
        <v>1013</v>
      </c>
      <c r="F98" s="1855"/>
      <c r="G98" s="1855"/>
      <c r="H98" s="1855"/>
    </row>
    <row r="99" spans="1:8" s="1163" customFormat="1" ht="13.5" customHeight="1" x14ac:dyDescent="0.25">
      <c r="A99" s="1854"/>
      <c r="B99" s="1175"/>
      <c r="C99" s="1855"/>
      <c r="D99" s="1864"/>
      <c r="E99" s="1855" t="s">
        <v>1014</v>
      </c>
      <c r="F99" s="1855"/>
      <c r="G99" s="1855"/>
      <c r="H99" s="1855"/>
    </row>
    <row r="100" spans="1:8" s="1163" customFormat="1" ht="13.5" customHeight="1" x14ac:dyDescent="0.25">
      <c r="A100" s="1854"/>
      <c r="B100" s="1175"/>
      <c r="C100" s="1855"/>
      <c r="D100" s="1174" t="s">
        <v>1011</v>
      </c>
      <c r="E100" s="1174" t="s">
        <v>563</v>
      </c>
      <c r="F100" s="1174" t="s">
        <v>925</v>
      </c>
      <c r="G100" s="1174" t="s">
        <v>563</v>
      </c>
      <c r="H100" s="1176" t="s">
        <v>925</v>
      </c>
    </row>
    <row r="101" spans="1:8" s="1163" customFormat="1" ht="13.5" customHeight="1" x14ac:dyDescent="0.25">
      <c r="A101" s="1177"/>
      <c r="B101" s="1174"/>
      <c r="C101" s="1174"/>
      <c r="D101" s="1174"/>
      <c r="E101" s="1174"/>
      <c r="F101" s="1174"/>
      <c r="G101" s="1174"/>
      <c r="H101" s="1174"/>
    </row>
    <row r="102" spans="1:8" s="1163" customFormat="1" ht="13.5" customHeight="1" x14ac:dyDescent="0.25">
      <c r="A102" s="1857" t="s">
        <v>1016</v>
      </c>
      <c r="B102" s="1857"/>
      <c r="C102" s="1857"/>
      <c r="D102" s="1857"/>
      <c r="E102" s="1857"/>
      <c r="F102" s="1857"/>
      <c r="G102" s="1857"/>
      <c r="H102" s="1857"/>
    </row>
    <row r="103" spans="1:8" s="1163" customFormat="1" ht="13.5" customHeight="1" x14ac:dyDescent="0.25">
      <c r="A103" s="1856" t="s">
        <v>1017</v>
      </c>
      <c r="B103" s="1856"/>
      <c r="C103" s="1856"/>
      <c r="D103" s="1856"/>
      <c r="E103" s="1856"/>
      <c r="F103" s="1856"/>
      <c r="G103" s="1856"/>
      <c r="H103" s="1856"/>
    </row>
    <row r="104" spans="1:8" s="1163" customFormat="1" ht="13.5" customHeight="1" x14ac:dyDescent="0.25">
      <c r="A104" s="1174" t="s">
        <v>1018</v>
      </c>
      <c r="B104" s="1174">
        <v>150</v>
      </c>
      <c r="C104" s="1174">
        <v>1.34</v>
      </c>
      <c r="D104" s="1174">
        <v>0.05</v>
      </c>
      <c r="E104" s="1174">
        <v>1</v>
      </c>
      <c r="F104" s="1174">
        <v>5</v>
      </c>
      <c r="G104" s="1174">
        <v>5.1999999999999998E-2</v>
      </c>
      <c r="H104" s="1174">
        <v>0.06</v>
      </c>
    </row>
    <row r="105" spans="1:8" s="1163" customFormat="1" ht="13.5" customHeight="1" x14ac:dyDescent="0.25">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25">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25">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25">
      <c r="A108" s="1174" t="s">
        <v>1022</v>
      </c>
      <c r="B108" s="1174">
        <v>24</v>
      </c>
      <c r="C108" s="1174">
        <v>1.34</v>
      </c>
      <c r="D108" s="1174">
        <v>0.04</v>
      </c>
      <c r="E108" s="1174">
        <v>2</v>
      </c>
      <c r="F108" s="1174">
        <v>10</v>
      </c>
      <c r="G108" s="1174">
        <v>0.04</v>
      </c>
      <c r="H108" s="1174">
        <v>4.1000000000000002E-2</v>
      </c>
    </row>
    <row r="109" spans="1:8" s="1163" customFormat="1" ht="13.5" customHeight="1" x14ac:dyDescent="0.25">
      <c r="A109" s="1174" t="s">
        <v>1023</v>
      </c>
      <c r="B109" s="1174">
        <v>25</v>
      </c>
      <c r="C109" s="1174">
        <v>1.34</v>
      </c>
      <c r="D109" s="1174">
        <v>2.9000000000000001E-2</v>
      </c>
      <c r="E109" s="1174">
        <v>2</v>
      </c>
      <c r="F109" s="1174">
        <v>10</v>
      </c>
      <c r="G109" s="1174">
        <v>3.1E-2</v>
      </c>
      <c r="H109" s="1174">
        <v>3.1E-2</v>
      </c>
    </row>
    <row r="110" spans="1:8" s="1163" customFormat="1" ht="13.5" customHeight="1" x14ac:dyDescent="0.25">
      <c r="A110" s="1174" t="s">
        <v>1024</v>
      </c>
      <c r="B110" s="1174">
        <v>28</v>
      </c>
      <c r="C110" s="1174">
        <v>1.34</v>
      </c>
      <c r="D110" s="1174">
        <v>2.9000000000000001E-2</v>
      </c>
      <c r="E110" s="1174">
        <v>2</v>
      </c>
      <c r="F110" s="1174">
        <v>10</v>
      </c>
      <c r="G110" s="1174">
        <v>3.1E-2</v>
      </c>
      <c r="H110" s="1174">
        <v>3.1E-2</v>
      </c>
    </row>
    <row r="111" spans="1:8" s="1163" customFormat="1" ht="13.5" customHeight="1" x14ac:dyDescent="0.25">
      <c r="A111" s="1174" t="s">
        <v>1025</v>
      </c>
      <c r="B111" s="1174">
        <v>33</v>
      </c>
      <c r="C111" s="1174">
        <v>1.34</v>
      </c>
      <c r="D111" s="1174">
        <v>2.9000000000000001E-2</v>
      </c>
      <c r="E111" s="1174">
        <v>2</v>
      </c>
      <c r="F111" s="1174">
        <v>10</v>
      </c>
      <c r="G111" s="1174">
        <v>3.1E-2</v>
      </c>
      <c r="H111" s="1174">
        <v>3.1E-2</v>
      </c>
    </row>
    <row r="112" spans="1:8" s="1163" customFormat="1" ht="13.5" customHeight="1" x14ac:dyDescent="0.25">
      <c r="A112" s="1174" t="s">
        <v>1026</v>
      </c>
      <c r="B112" s="1174">
        <v>35</v>
      </c>
      <c r="C112" s="1174">
        <v>1.34</v>
      </c>
      <c r="D112" s="1174">
        <v>0.03</v>
      </c>
      <c r="E112" s="1174">
        <v>2</v>
      </c>
      <c r="F112" s="1174">
        <v>10</v>
      </c>
      <c r="G112" s="1174">
        <v>3.1E-2</v>
      </c>
      <c r="H112" s="1174">
        <v>3.1E-2</v>
      </c>
    </row>
    <row r="113" spans="1:8" s="1163" customFormat="1" ht="13.5" customHeight="1" x14ac:dyDescent="0.25">
      <c r="A113" s="1174" t="s">
        <v>1027</v>
      </c>
      <c r="B113" s="1174">
        <v>45</v>
      </c>
      <c r="C113" s="1174">
        <v>1.34</v>
      </c>
      <c r="D113" s="1174">
        <v>0.03</v>
      </c>
      <c r="E113" s="1174">
        <v>2</v>
      </c>
      <c r="F113" s="1174">
        <v>10</v>
      </c>
      <c r="G113" s="1174">
        <v>3.1E-2</v>
      </c>
      <c r="H113" s="1174">
        <v>3.1E-2</v>
      </c>
    </row>
    <row r="114" spans="1:8" s="1163" customFormat="1" ht="13.5" customHeight="1" x14ac:dyDescent="0.25">
      <c r="A114" s="1174" t="s">
        <v>1028</v>
      </c>
      <c r="B114" s="1174">
        <v>15</v>
      </c>
      <c r="C114" s="1174">
        <v>1.34</v>
      </c>
      <c r="D114" s="1174">
        <v>3.9E-2</v>
      </c>
      <c r="E114" s="1174">
        <v>2</v>
      </c>
      <c r="F114" s="1174">
        <v>10</v>
      </c>
      <c r="G114" s="1174">
        <v>0.04</v>
      </c>
      <c r="H114" s="1174">
        <v>4.3999999999999997E-2</v>
      </c>
    </row>
    <row r="115" spans="1:8" s="1163" customFormat="1" ht="13.5" customHeight="1" x14ac:dyDescent="0.25">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25">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25">
      <c r="A117" s="1174" t="s">
        <v>1031</v>
      </c>
      <c r="B117" s="1174">
        <v>28</v>
      </c>
      <c r="C117" s="1178">
        <v>1.45</v>
      </c>
      <c r="D117" s="1179">
        <v>2.9000000000000001E-2</v>
      </c>
      <c r="E117" s="1174">
        <v>2</v>
      </c>
      <c r="F117" s="1174">
        <v>10</v>
      </c>
      <c r="G117" s="1174">
        <v>0.03</v>
      </c>
      <c r="H117" s="1174">
        <v>3.1E-2</v>
      </c>
    </row>
    <row r="118" spans="1:8" s="1163" customFormat="1" ht="13.5" customHeight="1" x14ac:dyDescent="0.25">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25">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25">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25">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25">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25">
      <c r="A123" s="1174" t="s">
        <v>1037</v>
      </c>
      <c r="B123" s="1174">
        <v>25</v>
      </c>
      <c r="C123" s="1178">
        <v>1.45</v>
      </c>
      <c r="D123" s="1179">
        <v>2.9000000000000001E-2</v>
      </c>
      <c r="E123" s="1174">
        <v>2</v>
      </c>
      <c r="F123" s="1174">
        <v>10</v>
      </c>
      <c r="G123" s="1174">
        <v>3.1E-2</v>
      </c>
      <c r="H123" s="1174">
        <v>3.1E-2</v>
      </c>
    </row>
    <row r="124" spans="1:8" s="1163" customFormat="1" ht="13.5" customHeight="1" x14ac:dyDescent="0.25">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25">
      <c r="A125" s="1855" t="s">
        <v>1022</v>
      </c>
      <c r="B125" s="1174" t="s">
        <v>1039</v>
      </c>
      <c r="C125" s="1858">
        <v>1.26</v>
      </c>
      <c r="D125" s="1859">
        <v>4.1000000000000002E-2</v>
      </c>
      <c r="E125" s="1855">
        <v>2</v>
      </c>
      <c r="F125" s="1855">
        <v>10</v>
      </c>
      <c r="G125" s="1855">
        <v>0.05</v>
      </c>
      <c r="H125" s="1855">
        <v>5.1999999999999998E-2</v>
      </c>
    </row>
    <row r="126" spans="1:8" s="1163" customFormat="1" ht="13.5" customHeight="1" x14ac:dyDescent="0.25">
      <c r="A126" s="1855"/>
      <c r="B126" s="1174" t="s">
        <v>1040</v>
      </c>
      <c r="C126" s="1858"/>
      <c r="D126" s="1859"/>
      <c r="E126" s="1855"/>
      <c r="F126" s="1855"/>
      <c r="G126" s="1855"/>
      <c r="H126" s="1855"/>
    </row>
    <row r="127" spans="1:8" s="1163" customFormat="1" ht="13.5" customHeight="1" x14ac:dyDescent="0.25">
      <c r="A127" s="1174" t="s">
        <v>1041</v>
      </c>
      <c r="B127" s="1174">
        <v>80</v>
      </c>
      <c r="C127" s="1178">
        <v>1.47</v>
      </c>
      <c r="D127" s="1179">
        <v>4.1000000000000002E-2</v>
      </c>
      <c r="E127" s="1174">
        <v>2</v>
      </c>
      <c r="F127" s="1174">
        <v>5</v>
      </c>
      <c r="G127" s="1174">
        <v>0.05</v>
      </c>
      <c r="H127" s="1174">
        <v>0.05</v>
      </c>
    </row>
    <row r="128" spans="1:8" s="1163" customFormat="1" ht="13.5" customHeight="1" x14ac:dyDescent="0.25">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25">
      <c r="A129" s="1177" t="s">
        <v>1019</v>
      </c>
      <c r="B129" s="1174">
        <v>40</v>
      </c>
      <c r="C129" s="1178">
        <v>1.47</v>
      </c>
      <c r="D129" s="1179">
        <v>2.9000000000000001E-2</v>
      </c>
      <c r="E129" s="1174">
        <v>2</v>
      </c>
      <c r="F129" s="1174">
        <v>5</v>
      </c>
      <c r="G129" s="1174">
        <v>0.04</v>
      </c>
      <c r="H129" s="1174">
        <v>0.04</v>
      </c>
    </row>
    <row r="130" spans="1:8" s="1163" customFormat="1" ht="29.25" customHeight="1" x14ac:dyDescent="0.25">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25">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25">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25">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25">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25">
      <c r="A135" s="1174" t="s">
        <v>1044</v>
      </c>
      <c r="B135" s="1174">
        <v>300</v>
      </c>
      <c r="C135" s="1178">
        <v>1.05</v>
      </c>
      <c r="D135" s="1179">
        <v>7.5999999999999998E-2</v>
      </c>
      <c r="E135" s="1174">
        <v>3</v>
      </c>
      <c r="F135" s="1174">
        <v>12</v>
      </c>
      <c r="G135" s="1174">
        <v>0.08</v>
      </c>
      <c r="H135" s="1174">
        <v>0.12</v>
      </c>
    </row>
    <row r="136" spans="1:8" s="1163" customFormat="1" ht="13.5" customHeight="1" x14ac:dyDescent="0.25">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25">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25">
      <c r="A138" s="1855" t="s">
        <v>1046</v>
      </c>
      <c r="B138" s="1174" t="s">
        <v>1047</v>
      </c>
      <c r="C138" s="1178">
        <v>1.806</v>
      </c>
      <c r="D138" s="1179">
        <v>3.9E-2</v>
      </c>
      <c r="E138" s="1174">
        <v>0</v>
      </c>
      <c r="F138" s="1174">
        <v>0</v>
      </c>
      <c r="G138" s="1174">
        <v>3.9E-2</v>
      </c>
      <c r="H138" s="1174" t="s">
        <v>1052</v>
      </c>
    </row>
    <row r="139" spans="1:8" s="1163" customFormat="1" ht="13.5" customHeight="1" x14ac:dyDescent="0.25">
      <c r="A139" s="1855"/>
      <c r="B139" s="1174" t="s">
        <v>1048</v>
      </c>
      <c r="C139" s="1178" t="s">
        <v>1049</v>
      </c>
      <c r="D139" s="1179" t="s">
        <v>1050</v>
      </c>
      <c r="E139" s="1174" t="s">
        <v>1051</v>
      </c>
      <c r="F139" s="1174" t="s">
        <v>1051</v>
      </c>
      <c r="G139" s="1174" t="s">
        <v>1050</v>
      </c>
      <c r="H139" s="1174">
        <v>4.1000000000000002E-2</v>
      </c>
    </row>
    <row r="140" spans="1:8" s="1163" customFormat="1" ht="13.5" customHeight="1" x14ac:dyDescent="0.25">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25">
      <c r="A141" s="1174" t="s">
        <v>1054</v>
      </c>
      <c r="B141" s="1174">
        <v>45</v>
      </c>
      <c r="C141" s="1178">
        <v>1.53</v>
      </c>
      <c r="D141" s="1179">
        <v>0.03</v>
      </c>
      <c r="E141" s="1174">
        <v>2</v>
      </c>
      <c r="F141" s="1174">
        <v>3</v>
      </c>
      <c r="G141" s="1174">
        <v>3.1E-2</v>
      </c>
      <c r="H141" s="1174">
        <v>3.2000000000000001E-2</v>
      </c>
    </row>
    <row r="142" spans="1:8" s="1163" customFormat="1" ht="13.5" customHeight="1" x14ac:dyDescent="0.25">
      <c r="A142" s="1856" t="s">
        <v>1055</v>
      </c>
      <c r="B142" s="1856"/>
      <c r="C142" s="1856"/>
      <c r="D142" s="1856"/>
      <c r="E142" s="1856"/>
      <c r="F142" s="1856"/>
      <c r="G142" s="1856"/>
      <c r="H142" s="1856"/>
    </row>
    <row r="143" spans="1:8" s="1163" customFormat="1" ht="13.5" customHeight="1" x14ac:dyDescent="0.25">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25">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25">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25">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25">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25">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25">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25">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25">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25">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25">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25">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25">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25">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25">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25">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25">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25">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25">
      <c r="A161" s="1180"/>
      <c r="B161" s="1180"/>
      <c r="C161" s="1180"/>
      <c r="D161" s="1180"/>
      <c r="E161" s="1180"/>
      <c r="F161" s="1180"/>
      <c r="G161" s="1180"/>
      <c r="H161" s="1180"/>
    </row>
    <row r="162" spans="1:8" s="1163" customFormat="1" ht="13.5" customHeight="1" x14ac:dyDescent="0.25">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25">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25">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25">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25">
      <c r="A166" s="1174" t="s">
        <v>1067</v>
      </c>
      <c r="B166" s="1174">
        <v>45</v>
      </c>
      <c r="C166" s="1178">
        <v>0.84</v>
      </c>
      <c r="D166" s="1179">
        <v>4.7E-2</v>
      </c>
      <c r="E166" s="1174">
        <v>2</v>
      </c>
      <c r="F166" s="1174">
        <v>5</v>
      </c>
      <c r="G166" s="1174">
        <v>0.06</v>
      </c>
      <c r="H166" s="1174">
        <v>6.4000000000000001E-2</v>
      </c>
    </row>
    <row r="167" spans="1:8" s="1163" customFormat="1" ht="13.5" customHeight="1" x14ac:dyDescent="0.25">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25">
      <c r="A168" s="1174" t="s">
        <v>1069</v>
      </c>
      <c r="B168" s="1174">
        <v>25</v>
      </c>
      <c r="C168" s="1178">
        <v>0.84</v>
      </c>
      <c r="D168" s="1179">
        <v>0.04</v>
      </c>
      <c r="E168" s="1174">
        <v>2</v>
      </c>
      <c r="F168" s="1174">
        <v>5</v>
      </c>
      <c r="G168" s="1174">
        <v>4.2999999999999997E-2</v>
      </c>
      <c r="H168" s="1174">
        <v>0.05</v>
      </c>
    </row>
    <row r="169" spans="1:8" s="1163" customFormat="1" ht="13.5" customHeight="1" x14ac:dyDescent="0.25">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25">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25">
      <c r="A171" s="1178" t="s">
        <v>1019</v>
      </c>
      <c r="B171" s="1174">
        <v>11</v>
      </c>
      <c r="C171" s="1178">
        <v>0.84</v>
      </c>
      <c r="D171" s="1179">
        <v>4.8000000000000001E-2</v>
      </c>
      <c r="E171" s="1174">
        <v>2</v>
      </c>
      <c r="F171" s="1174">
        <v>5</v>
      </c>
      <c r="G171" s="1174">
        <v>0.05</v>
      </c>
      <c r="H171" s="1174">
        <v>5.5E-2</v>
      </c>
    </row>
    <row r="172" spans="1:8" s="1163" customFormat="1" ht="13.5" customHeight="1" x14ac:dyDescent="0.25">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25">
      <c r="A173" s="1174" t="s">
        <v>1022</v>
      </c>
      <c r="B173" s="1174">
        <v>75</v>
      </c>
      <c r="C173" s="1178">
        <v>0.84</v>
      </c>
      <c r="D173" s="1179">
        <v>0.04</v>
      </c>
      <c r="E173" s="1174">
        <v>2</v>
      </c>
      <c r="F173" s="1174">
        <v>5</v>
      </c>
      <c r="G173" s="1174">
        <v>4.2000000000000003E-2</v>
      </c>
      <c r="H173" s="1174">
        <v>4.7E-2</v>
      </c>
    </row>
    <row r="174" spans="1:8" s="1163" customFormat="1" ht="13.5" customHeight="1" x14ac:dyDescent="0.25">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25">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25">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25">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25">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25">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25">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25">
      <c r="A181" s="1174" t="s">
        <v>1071</v>
      </c>
      <c r="B181" s="1174">
        <v>400</v>
      </c>
      <c r="C181" s="1178">
        <v>0.84</v>
      </c>
      <c r="D181" s="1179">
        <v>0.11</v>
      </c>
      <c r="E181" s="1174">
        <v>1</v>
      </c>
      <c r="F181" s="1174">
        <v>2</v>
      </c>
      <c r="G181" s="1174">
        <v>0.12</v>
      </c>
      <c r="H181" s="1174">
        <v>0.14000000000000001</v>
      </c>
    </row>
    <row r="182" spans="1:8" s="1163" customFormat="1" ht="13.5" customHeight="1" x14ac:dyDescent="0.25">
      <c r="A182" s="1174" t="s">
        <v>1022</v>
      </c>
      <c r="B182" s="1174">
        <v>300</v>
      </c>
      <c r="C182" s="1178">
        <v>0.84</v>
      </c>
      <c r="D182" s="1179">
        <v>0.09</v>
      </c>
      <c r="E182" s="1174">
        <v>1</v>
      </c>
      <c r="F182" s="1174">
        <v>2</v>
      </c>
      <c r="G182" s="1174">
        <v>0.11</v>
      </c>
      <c r="H182" s="1174">
        <v>0.12</v>
      </c>
    </row>
    <row r="183" spans="1:8" s="1163" customFormat="1" ht="13.5" customHeight="1" x14ac:dyDescent="0.25">
      <c r="A183" s="1178" t="s">
        <v>1019</v>
      </c>
      <c r="B183" s="1174">
        <v>200</v>
      </c>
      <c r="C183" s="1178">
        <v>0.84</v>
      </c>
      <c r="D183" s="1179">
        <v>7.0000000000000007E-2</v>
      </c>
      <c r="E183" s="1174">
        <v>1</v>
      </c>
      <c r="F183" s="1174">
        <v>2</v>
      </c>
      <c r="G183" s="1174">
        <v>0.08</v>
      </c>
      <c r="H183" s="1174">
        <v>0.09</v>
      </c>
    </row>
    <row r="184" spans="1:8" s="1163" customFormat="1" ht="13.5" customHeight="1" x14ac:dyDescent="0.25">
      <c r="A184" s="1856" t="s">
        <v>1072</v>
      </c>
      <c r="B184" s="1856"/>
      <c r="C184" s="1856"/>
      <c r="D184" s="1856"/>
      <c r="E184" s="1856"/>
      <c r="F184" s="1856"/>
      <c r="G184" s="1856"/>
      <c r="H184" s="1856"/>
    </row>
    <row r="185" spans="1:8" s="1163" customFormat="1" ht="13.5" customHeight="1" x14ac:dyDescent="0.25">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25">
      <c r="A186" s="1174" t="s">
        <v>1022</v>
      </c>
      <c r="B186" s="1174">
        <v>800</v>
      </c>
      <c r="C186" s="1178">
        <v>2.2999999999999998</v>
      </c>
      <c r="D186" s="1179">
        <v>0.13</v>
      </c>
      <c r="E186" s="1174">
        <v>10</v>
      </c>
      <c r="F186" s="1174">
        <v>12</v>
      </c>
      <c r="G186" s="1174">
        <v>0.19</v>
      </c>
      <c r="H186" s="1174">
        <v>0.23</v>
      </c>
    </row>
    <row r="187" spans="1:8" s="1163" customFormat="1" ht="13.5" customHeight="1" x14ac:dyDescent="0.25">
      <c r="A187" s="1178" t="s">
        <v>1019</v>
      </c>
      <c r="B187" s="1174">
        <v>600</v>
      </c>
      <c r="C187" s="1178">
        <v>2.2999999999999998</v>
      </c>
      <c r="D187" s="1179">
        <v>0.11</v>
      </c>
      <c r="E187" s="1174">
        <v>10</v>
      </c>
      <c r="F187" s="1174">
        <v>12</v>
      </c>
      <c r="G187" s="1174">
        <v>0.13</v>
      </c>
      <c r="H187" s="1174">
        <v>0.16</v>
      </c>
    </row>
    <row r="188" spans="1:8" s="1163" customFormat="1" ht="13.5" customHeight="1" x14ac:dyDescent="0.25">
      <c r="A188" s="1178" t="s">
        <v>1019</v>
      </c>
      <c r="B188" s="1174">
        <v>400</v>
      </c>
      <c r="C188" s="1178">
        <v>2.2999999999999998</v>
      </c>
      <c r="D188" s="1179">
        <v>0.08</v>
      </c>
      <c r="E188" s="1174">
        <v>10</v>
      </c>
      <c r="F188" s="1174">
        <v>12</v>
      </c>
      <c r="G188" s="1174">
        <v>0.11</v>
      </c>
      <c r="H188" s="1174">
        <v>0.13</v>
      </c>
    </row>
    <row r="189" spans="1:8" s="1163" customFormat="1" ht="13.5" customHeight="1" x14ac:dyDescent="0.25">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25">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25">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25">
      <c r="A192" s="1178" t="s">
        <v>1019</v>
      </c>
      <c r="B192" s="1174">
        <v>400</v>
      </c>
      <c r="C192" s="1178">
        <v>2.2999999999999998</v>
      </c>
      <c r="D192" s="1179">
        <v>0.08</v>
      </c>
      <c r="E192" s="1174">
        <v>10</v>
      </c>
      <c r="F192" s="1174">
        <v>15</v>
      </c>
      <c r="G192" s="1174">
        <v>0.13</v>
      </c>
      <c r="H192" s="1174">
        <v>0.16</v>
      </c>
    </row>
    <row r="193" spans="1:8" s="1163" customFormat="1" ht="13.5" customHeight="1" x14ac:dyDescent="0.25">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25">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25">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25">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25">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25">
      <c r="A198" s="1174" t="s">
        <v>1079</v>
      </c>
      <c r="B198" s="1174">
        <v>1350</v>
      </c>
      <c r="C198" s="1178">
        <v>0.84</v>
      </c>
      <c r="D198" s="1179">
        <v>0.35</v>
      </c>
      <c r="E198" s="1174">
        <v>4</v>
      </c>
      <c r="F198" s="1174">
        <v>6</v>
      </c>
      <c r="G198" s="1174">
        <v>0.5</v>
      </c>
      <c r="H198" s="1174">
        <v>0.56000000000000005</v>
      </c>
    </row>
    <row r="199" spans="1:8" s="1163" customFormat="1" ht="13.5" customHeight="1" x14ac:dyDescent="0.25">
      <c r="A199" s="1174" t="s">
        <v>1022</v>
      </c>
      <c r="B199" s="1174">
        <v>1100</v>
      </c>
      <c r="C199" s="1178">
        <v>0.84</v>
      </c>
      <c r="D199" s="1179">
        <v>0.23</v>
      </c>
      <c r="E199" s="1174">
        <v>4</v>
      </c>
      <c r="F199" s="1174">
        <v>6</v>
      </c>
      <c r="G199" s="1174">
        <v>0.35</v>
      </c>
      <c r="H199" s="1174">
        <v>0.41</v>
      </c>
    </row>
    <row r="200" spans="1:8" s="1163" customFormat="1" ht="13.5" customHeight="1" x14ac:dyDescent="0.25">
      <c r="A200" s="1174" t="s">
        <v>1080</v>
      </c>
      <c r="B200" s="1174">
        <v>1050</v>
      </c>
      <c r="C200" s="1178">
        <v>0.84</v>
      </c>
      <c r="D200" s="1179">
        <v>0.15</v>
      </c>
      <c r="E200" s="1174">
        <v>4</v>
      </c>
      <c r="F200" s="1174">
        <v>6</v>
      </c>
      <c r="G200" s="1174">
        <v>0.34</v>
      </c>
      <c r="H200" s="1174">
        <v>0.36</v>
      </c>
    </row>
    <row r="201" spans="1:8" s="1163" customFormat="1" ht="13.5" customHeight="1" x14ac:dyDescent="0.25">
      <c r="A201" s="1174" t="s">
        <v>1022</v>
      </c>
      <c r="B201" s="1174">
        <v>800</v>
      </c>
      <c r="C201" s="1178">
        <v>0.84</v>
      </c>
      <c r="D201" s="1179">
        <v>0.15</v>
      </c>
      <c r="E201" s="1174">
        <v>4</v>
      </c>
      <c r="F201" s="1174">
        <v>6</v>
      </c>
      <c r="G201" s="1174">
        <v>0.19</v>
      </c>
      <c r="H201" s="1174">
        <v>0.21</v>
      </c>
    </row>
    <row r="202" spans="1:8" s="1163" customFormat="1" ht="13.5" customHeight="1" x14ac:dyDescent="0.25">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25">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25">
      <c r="A204" s="1180"/>
      <c r="B204" s="1180"/>
      <c r="C204" s="1180"/>
      <c r="D204" s="1180"/>
      <c r="E204" s="1180"/>
      <c r="F204" s="1180"/>
      <c r="G204" s="1180"/>
      <c r="H204" s="1180"/>
    </row>
    <row r="205" spans="1:8" s="1163" customFormat="1" ht="13.5" customHeight="1" x14ac:dyDescent="0.25">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25">
      <c r="A206" s="1178" t="s">
        <v>1019</v>
      </c>
      <c r="B206" s="1174">
        <v>200</v>
      </c>
      <c r="C206" s="1178">
        <v>1.68</v>
      </c>
      <c r="D206" s="1179">
        <v>7.5999999999999998E-2</v>
      </c>
      <c r="E206" s="1174">
        <v>1</v>
      </c>
      <c r="F206" s="1174">
        <v>2</v>
      </c>
      <c r="G206" s="1174">
        <v>7.8E-2</v>
      </c>
      <c r="H206" s="1174">
        <v>0.09</v>
      </c>
    </row>
    <row r="207" spans="1:8" s="1163" customFormat="1" ht="13.5" customHeight="1" x14ac:dyDescent="0.25">
      <c r="A207" s="1856" t="s">
        <v>1082</v>
      </c>
      <c r="B207" s="1856"/>
      <c r="C207" s="1856"/>
      <c r="D207" s="1856"/>
      <c r="E207" s="1856"/>
      <c r="F207" s="1856"/>
      <c r="G207" s="1856"/>
      <c r="H207" s="1856"/>
    </row>
    <row r="208" spans="1:8" s="1163" customFormat="1" ht="13.5" customHeight="1" x14ac:dyDescent="0.25">
      <c r="A208" s="1174" t="s">
        <v>1083</v>
      </c>
      <c r="B208" s="1174">
        <v>600</v>
      </c>
      <c r="C208" s="1178">
        <v>0.84</v>
      </c>
      <c r="D208" s="1179">
        <v>0.14000000000000001</v>
      </c>
      <c r="E208" s="1174">
        <v>2</v>
      </c>
      <c r="F208" s="1174">
        <v>3</v>
      </c>
      <c r="G208" s="1174">
        <v>0.17</v>
      </c>
      <c r="H208" s="1174">
        <v>0.19</v>
      </c>
    </row>
    <row r="209" spans="1:8" s="1163" customFormat="1" ht="13.5" customHeight="1" x14ac:dyDescent="0.25">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25">
      <c r="A210" s="1178" t="s">
        <v>1019</v>
      </c>
      <c r="B210" s="1174">
        <v>450</v>
      </c>
      <c r="C210" s="1178">
        <v>0.84</v>
      </c>
      <c r="D210" s="1179">
        <v>0.13</v>
      </c>
      <c r="E210" s="1174">
        <v>2</v>
      </c>
      <c r="F210" s="1174">
        <v>3</v>
      </c>
      <c r="G210" s="1174">
        <v>0.14000000000000001</v>
      </c>
      <c r="H210" s="1174">
        <v>0.155</v>
      </c>
    </row>
    <row r="211" spans="1:8" s="1163" customFormat="1" ht="13.5" customHeight="1" x14ac:dyDescent="0.25">
      <c r="A211" s="1178" t="s">
        <v>1019</v>
      </c>
      <c r="B211" s="1174">
        <v>400</v>
      </c>
      <c r="C211" s="1178">
        <v>0.84</v>
      </c>
      <c r="D211" s="1179">
        <v>0.12</v>
      </c>
      <c r="E211" s="1174">
        <v>2</v>
      </c>
      <c r="F211" s="1174">
        <v>3</v>
      </c>
      <c r="G211" s="1174">
        <v>0.13</v>
      </c>
      <c r="H211" s="1174">
        <v>0.14499999999999999</v>
      </c>
    </row>
    <row r="212" spans="1:8" s="1163" customFormat="1" ht="13.5" customHeight="1" x14ac:dyDescent="0.25">
      <c r="A212" s="1178" t="s">
        <v>1019</v>
      </c>
      <c r="B212" s="1181">
        <v>350</v>
      </c>
      <c r="C212" s="1178">
        <v>0.84</v>
      </c>
      <c r="D212" s="1179">
        <v>0.115</v>
      </c>
      <c r="E212" s="1174">
        <v>2</v>
      </c>
      <c r="F212" s="1174">
        <v>3</v>
      </c>
      <c r="G212" s="1174">
        <v>0.125</v>
      </c>
      <c r="H212" s="1174">
        <v>0.14000000000000001</v>
      </c>
    </row>
    <row r="213" spans="1:8" s="1163" customFormat="1" ht="13.5" customHeight="1" x14ac:dyDescent="0.25">
      <c r="A213" s="1178" t="s">
        <v>1019</v>
      </c>
      <c r="B213" s="1181">
        <v>300</v>
      </c>
      <c r="C213" s="1178">
        <v>0.84</v>
      </c>
      <c r="D213" s="1179">
        <v>0.108</v>
      </c>
      <c r="E213" s="1174">
        <v>2</v>
      </c>
      <c r="F213" s="1174">
        <v>3</v>
      </c>
      <c r="G213" s="1174">
        <v>0.12</v>
      </c>
      <c r="H213" s="1174">
        <v>0.13</v>
      </c>
    </row>
    <row r="214" spans="1:8" s="1163" customFormat="1" ht="13.5" customHeight="1" x14ac:dyDescent="0.25">
      <c r="A214" s="1174" t="s">
        <v>1083</v>
      </c>
      <c r="B214" s="1174">
        <v>250</v>
      </c>
      <c r="C214" s="1178">
        <v>0.84</v>
      </c>
      <c r="D214" s="1179">
        <v>9.9000000000000005E-2</v>
      </c>
      <c r="E214" s="1174">
        <v>2</v>
      </c>
      <c r="F214" s="1174">
        <v>3</v>
      </c>
      <c r="G214" s="1174">
        <v>0.11</v>
      </c>
      <c r="H214" s="1174">
        <v>0.12</v>
      </c>
    </row>
    <row r="215" spans="1:8" s="1163" customFormat="1" ht="13.5" customHeight="1" x14ac:dyDescent="0.25">
      <c r="A215" s="1174" t="s">
        <v>1084</v>
      </c>
      <c r="B215" s="1181">
        <v>700</v>
      </c>
      <c r="C215" s="1178">
        <v>0.84</v>
      </c>
      <c r="D215" s="1179">
        <v>0.16</v>
      </c>
      <c r="E215" s="1174">
        <v>2</v>
      </c>
      <c r="F215" s="1174">
        <v>4</v>
      </c>
      <c r="G215" s="1174">
        <v>0.18</v>
      </c>
      <c r="H215" s="1174">
        <v>0.21</v>
      </c>
    </row>
    <row r="216" spans="1:8" s="1163" customFormat="1" ht="13.5" customHeight="1" x14ac:dyDescent="0.25">
      <c r="A216" s="1174" t="s">
        <v>1022</v>
      </c>
      <c r="B216" s="1174">
        <v>600</v>
      </c>
      <c r="C216" s="1178">
        <v>0.84</v>
      </c>
      <c r="D216" s="1179">
        <v>0.13</v>
      </c>
      <c r="E216" s="1174">
        <v>2</v>
      </c>
      <c r="F216" s="1174">
        <v>4</v>
      </c>
      <c r="G216" s="1174">
        <v>0.16</v>
      </c>
      <c r="H216" s="1174">
        <v>0.19</v>
      </c>
    </row>
    <row r="217" spans="1:8" s="1163" customFormat="1" ht="13.5" customHeight="1" x14ac:dyDescent="0.25">
      <c r="A217" s="1178" t="s">
        <v>1019</v>
      </c>
      <c r="B217" s="1181">
        <v>500</v>
      </c>
      <c r="C217" s="1178">
        <v>0.84</v>
      </c>
      <c r="D217" s="1179">
        <v>0.12</v>
      </c>
      <c r="E217" s="1174">
        <v>2</v>
      </c>
      <c r="F217" s="1174">
        <v>4</v>
      </c>
      <c r="G217" s="1174">
        <v>0.15</v>
      </c>
      <c r="H217" s="1174">
        <v>0.17499999999999999</v>
      </c>
    </row>
    <row r="218" spans="1:8" s="1163" customFormat="1" ht="13.5" customHeight="1" x14ac:dyDescent="0.25">
      <c r="A218" s="1178" t="s">
        <v>1019</v>
      </c>
      <c r="B218" s="1174">
        <v>450</v>
      </c>
      <c r="C218" s="1178">
        <v>0.84</v>
      </c>
      <c r="D218" s="1179">
        <v>0.11</v>
      </c>
      <c r="E218" s="1174">
        <v>2</v>
      </c>
      <c r="F218" s="1174">
        <v>4</v>
      </c>
      <c r="G218" s="1174">
        <v>0.14000000000000001</v>
      </c>
      <c r="H218" s="1174">
        <v>0.16</v>
      </c>
    </row>
    <row r="219" spans="1:8" s="1163" customFormat="1" ht="13.5" customHeight="1" x14ac:dyDescent="0.25">
      <c r="A219" s="1178" t="s">
        <v>1019</v>
      </c>
      <c r="B219" s="1174">
        <v>400</v>
      </c>
      <c r="C219" s="1178">
        <v>0.84</v>
      </c>
      <c r="D219" s="1179">
        <v>0.11</v>
      </c>
      <c r="E219" s="1174">
        <v>2</v>
      </c>
      <c r="F219" s="1174">
        <v>4</v>
      </c>
      <c r="G219" s="1174">
        <v>0.13</v>
      </c>
      <c r="H219" s="1174">
        <v>0.15</v>
      </c>
    </row>
    <row r="220" spans="1:8" s="1163" customFormat="1" ht="13.5" customHeight="1" x14ac:dyDescent="0.25">
      <c r="A220" s="1174" t="s">
        <v>1085</v>
      </c>
      <c r="B220" s="1174">
        <v>1000</v>
      </c>
      <c r="C220" s="1178">
        <v>0.84</v>
      </c>
      <c r="D220" s="1179">
        <v>0.21</v>
      </c>
      <c r="E220" s="1174">
        <v>2</v>
      </c>
      <c r="F220" s="1174">
        <v>3</v>
      </c>
      <c r="G220" s="1174">
        <v>0.24</v>
      </c>
      <c r="H220" s="1174">
        <v>0.31</v>
      </c>
    </row>
    <row r="221" spans="1:8" s="1163" customFormat="1" ht="13.5" customHeight="1" x14ac:dyDescent="0.25">
      <c r="A221" s="1174" t="s">
        <v>1086</v>
      </c>
      <c r="B221" s="1181">
        <v>900</v>
      </c>
      <c r="C221" s="1178">
        <v>0.84</v>
      </c>
      <c r="D221" s="1179">
        <v>0.19</v>
      </c>
      <c r="E221" s="1174">
        <v>2</v>
      </c>
      <c r="F221" s="1174">
        <v>3</v>
      </c>
      <c r="G221" s="1174">
        <v>0.23</v>
      </c>
      <c r="H221" s="1174">
        <v>0.3</v>
      </c>
    </row>
    <row r="222" spans="1:8" s="1163" customFormat="1" ht="13.5" customHeight="1" x14ac:dyDescent="0.25">
      <c r="A222" s="1174" t="s">
        <v>1022</v>
      </c>
      <c r="B222" s="1181">
        <v>800</v>
      </c>
      <c r="C222" s="1178">
        <v>0.84</v>
      </c>
      <c r="D222" s="1179">
        <v>0.18</v>
      </c>
      <c r="E222" s="1174">
        <v>2</v>
      </c>
      <c r="F222" s="1174">
        <v>3</v>
      </c>
      <c r="G222" s="1174">
        <v>0.21</v>
      </c>
      <c r="H222" s="1174">
        <v>0.26</v>
      </c>
    </row>
    <row r="223" spans="1:8" s="1163" customFormat="1" ht="13.5" customHeight="1" x14ac:dyDescent="0.25">
      <c r="A223" s="1178" t="s">
        <v>1019</v>
      </c>
      <c r="B223" s="1174">
        <v>700</v>
      </c>
      <c r="C223" s="1178">
        <v>0.84</v>
      </c>
      <c r="D223" s="1179">
        <v>0.16</v>
      </c>
      <c r="E223" s="1174">
        <v>2</v>
      </c>
      <c r="F223" s="1174">
        <v>3</v>
      </c>
      <c r="G223" s="1174">
        <v>0.19</v>
      </c>
      <c r="H223" s="1174">
        <v>0.23</v>
      </c>
    </row>
    <row r="224" spans="1:8" s="1163" customFormat="1" ht="13.5" customHeight="1" x14ac:dyDescent="0.25">
      <c r="A224" s="1178" t="s">
        <v>1019</v>
      </c>
      <c r="B224" s="1174">
        <v>600</v>
      </c>
      <c r="C224" s="1178">
        <v>0.84</v>
      </c>
      <c r="D224" s="1179">
        <v>0.15</v>
      </c>
      <c r="E224" s="1174">
        <v>2</v>
      </c>
      <c r="F224" s="1174">
        <v>3</v>
      </c>
      <c r="G224" s="1174">
        <v>0.18</v>
      </c>
      <c r="H224" s="1174">
        <v>0.21</v>
      </c>
    </row>
    <row r="225" spans="1:8" s="1163" customFormat="1" ht="13.5" customHeight="1" x14ac:dyDescent="0.25">
      <c r="A225" s="1178" t="s">
        <v>1019</v>
      </c>
      <c r="B225" s="1181">
        <v>500</v>
      </c>
      <c r="C225" s="1178">
        <v>0.84</v>
      </c>
      <c r="D225" s="1179">
        <v>0.14000000000000001</v>
      </c>
      <c r="E225" s="1174">
        <v>2</v>
      </c>
      <c r="F225" s="1174">
        <v>3</v>
      </c>
      <c r="G225" s="1174">
        <v>0.16</v>
      </c>
      <c r="H225" s="1174">
        <v>0.19</v>
      </c>
    </row>
    <row r="226" spans="1:8" s="1163" customFormat="1" ht="13.5" customHeight="1" x14ac:dyDescent="0.25">
      <c r="A226" s="1178" t="s">
        <v>1019</v>
      </c>
      <c r="B226" s="1174">
        <v>450</v>
      </c>
      <c r="C226" s="1178">
        <v>0.84</v>
      </c>
      <c r="D226" s="1179">
        <v>0.13</v>
      </c>
      <c r="E226" s="1174">
        <v>2</v>
      </c>
      <c r="F226" s="1174">
        <v>3</v>
      </c>
      <c r="G226" s="1174">
        <v>0.15</v>
      </c>
      <c r="H226" s="1174">
        <v>0.17</v>
      </c>
    </row>
    <row r="227" spans="1:8" s="1163" customFormat="1" ht="13.5" customHeight="1" x14ac:dyDescent="0.25">
      <c r="A227" s="1178" t="s">
        <v>1019</v>
      </c>
      <c r="B227" s="1174">
        <v>400</v>
      </c>
      <c r="C227" s="1178">
        <v>0.84</v>
      </c>
      <c r="D227" s="1179">
        <v>0.122</v>
      </c>
      <c r="E227" s="1174">
        <v>2</v>
      </c>
      <c r="F227" s="1174">
        <v>3</v>
      </c>
      <c r="G227" s="1174">
        <v>0.14000000000000001</v>
      </c>
      <c r="H227" s="1174">
        <v>0.16</v>
      </c>
    </row>
    <row r="228" spans="1:8" s="1163" customFormat="1" ht="13.5" customHeight="1" x14ac:dyDescent="0.25">
      <c r="A228" s="1174" t="s">
        <v>1087</v>
      </c>
      <c r="B228" s="1181">
        <v>500</v>
      </c>
      <c r="C228" s="1178">
        <v>0.84</v>
      </c>
      <c r="D228" s="1179">
        <v>0.09</v>
      </c>
      <c r="E228" s="1174">
        <v>1</v>
      </c>
      <c r="F228" s="1174">
        <v>2</v>
      </c>
      <c r="G228" s="1174">
        <v>0.1</v>
      </c>
      <c r="H228" s="1174">
        <v>0.11</v>
      </c>
    </row>
    <row r="229" spans="1:8" s="1163" customFormat="1" ht="13.5" customHeight="1" x14ac:dyDescent="0.25">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25">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25">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25">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25">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25">
      <c r="A234" s="1178" t="s">
        <v>1019</v>
      </c>
      <c r="B234" s="1181">
        <v>100</v>
      </c>
      <c r="C234" s="1178">
        <v>0.84</v>
      </c>
      <c r="D234" s="1179">
        <v>5.5E-2</v>
      </c>
      <c r="E234" s="1174">
        <v>1</v>
      </c>
      <c r="F234" s="1174">
        <v>3</v>
      </c>
      <c r="G234" s="1174">
        <v>6.7000000000000004E-2</v>
      </c>
      <c r="H234" s="1174">
        <v>0.08</v>
      </c>
    </row>
    <row r="235" spans="1:8" s="1163" customFormat="1" ht="13.5" customHeight="1" x14ac:dyDescent="0.25">
      <c r="A235" s="1174" t="s">
        <v>1089</v>
      </c>
      <c r="B235" s="1174">
        <v>1600</v>
      </c>
      <c r="C235" s="1178">
        <v>0.84</v>
      </c>
      <c r="D235" s="1179">
        <v>0.35</v>
      </c>
      <c r="E235" s="1174">
        <v>1</v>
      </c>
      <c r="F235" s="1174">
        <v>2</v>
      </c>
      <c r="G235" s="1174">
        <v>0.47</v>
      </c>
      <c r="H235" s="1174">
        <v>0.57999999999999996</v>
      </c>
    </row>
    <row r="236" spans="1:8" s="1163" customFormat="1" ht="13.5" customHeight="1" x14ac:dyDescent="0.25">
      <c r="A236" s="1856" t="s">
        <v>1090</v>
      </c>
      <c r="B236" s="1856"/>
      <c r="C236" s="1856"/>
      <c r="D236" s="1856"/>
      <c r="E236" s="1856"/>
      <c r="F236" s="1856"/>
      <c r="G236" s="1856"/>
      <c r="H236" s="1856"/>
    </row>
    <row r="237" spans="1:8" s="1163" customFormat="1" ht="13.5" customHeight="1" x14ac:dyDescent="0.25">
      <c r="A237" s="1174" t="s">
        <v>1091</v>
      </c>
      <c r="B237" s="1174">
        <v>1400</v>
      </c>
      <c r="C237" s="1178">
        <v>0.84</v>
      </c>
      <c r="D237" s="1179">
        <v>0.41</v>
      </c>
      <c r="E237" s="1174">
        <v>2</v>
      </c>
      <c r="F237" s="1174">
        <v>4</v>
      </c>
      <c r="G237" s="1174">
        <v>0.52</v>
      </c>
      <c r="H237" s="1174">
        <v>0.64</v>
      </c>
    </row>
    <row r="238" spans="1:8" s="1163" customFormat="1" ht="13.5" customHeight="1" x14ac:dyDescent="0.25">
      <c r="A238" s="1174" t="s">
        <v>1022</v>
      </c>
      <c r="B238" s="1174">
        <v>1200</v>
      </c>
      <c r="C238" s="1178">
        <v>0.84</v>
      </c>
      <c r="D238" s="1179">
        <v>0.35</v>
      </c>
      <c r="E238" s="1174">
        <v>2</v>
      </c>
      <c r="F238" s="1174">
        <v>4</v>
      </c>
      <c r="G238" s="1174">
        <v>0.47</v>
      </c>
      <c r="H238" s="1174">
        <v>0.57999999999999996</v>
      </c>
    </row>
    <row r="239" spans="1:8" s="1163" customFormat="1" ht="13.5" customHeight="1" x14ac:dyDescent="0.25">
      <c r="A239" s="1174" t="s">
        <v>1092</v>
      </c>
      <c r="B239" s="1174">
        <v>1000</v>
      </c>
      <c r="C239" s="1178">
        <v>0.84</v>
      </c>
      <c r="D239" s="1179">
        <v>0.21</v>
      </c>
      <c r="E239" s="1174">
        <v>7</v>
      </c>
      <c r="F239" s="1174">
        <v>12</v>
      </c>
      <c r="G239" s="1174">
        <v>0.26</v>
      </c>
      <c r="H239" s="1174">
        <v>0.3</v>
      </c>
    </row>
    <row r="240" spans="1:8" s="1163" customFormat="1" ht="13.5" customHeight="1" x14ac:dyDescent="0.25">
      <c r="A240" s="1174" t="s">
        <v>1022</v>
      </c>
      <c r="B240" s="1181">
        <v>800</v>
      </c>
      <c r="C240" s="1178">
        <v>0.84</v>
      </c>
      <c r="D240" s="1179">
        <v>0.16</v>
      </c>
      <c r="E240" s="1174">
        <v>7</v>
      </c>
      <c r="F240" s="1174">
        <v>12</v>
      </c>
      <c r="G240" s="1174">
        <v>0.21</v>
      </c>
      <c r="H240" s="1174">
        <v>0.26</v>
      </c>
    </row>
    <row r="241" spans="1:8" s="1163" customFormat="1" ht="13.5" customHeight="1" x14ac:dyDescent="0.25">
      <c r="A241" s="1174" t="s">
        <v>1093</v>
      </c>
      <c r="B241" s="1174">
        <v>600</v>
      </c>
      <c r="C241" s="1178">
        <v>0.84</v>
      </c>
      <c r="D241" s="1179">
        <v>0.14000000000000001</v>
      </c>
      <c r="E241" s="1174">
        <v>10</v>
      </c>
      <c r="F241" s="1174">
        <v>15</v>
      </c>
      <c r="G241" s="1174">
        <v>0.19</v>
      </c>
      <c r="H241" s="1174">
        <v>0.23</v>
      </c>
    </row>
    <row r="242" spans="1:8" s="1163" customFormat="1" ht="13.5" customHeight="1" x14ac:dyDescent="0.25">
      <c r="A242" s="1174" t="s">
        <v>1094</v>
      </c>
      <c r="B242" s="1181">
        <v>500</v>
      </c>
      <c r="C242" s="1178">
        <v>0.84</v>
      </c>
      <c r="D242" s="1179">
        <v>0.12</v>
      </c>
      <c r="E242" s="1174">
        <v>6</v>
      </c>
      <c r="F242" s="1174">
        <v>10</v>
      </c>
      <c r="G242" s="1174">
        <v>0.15</v>
      </c>
      <c r="H242" s="1174">
        <v>0.19</v>
      </c>
    </row>
    <row r="243" spans="1:8" s="1163" customFormat="1" ht="13.5" customHeight="1" x14ac:dyDescent="0.25">
      <c r="A243" s="1174" t="s">
        <v>1022</v>
      </c>
      <c r="B243" s="1174">
        <v>400</v>
      </c>
      <c r="C243" s="1178">
        <v>0.84</v>
      </c>
      <c r="D243" s="1179">
        <v>0.09</v>
      </c>
      <c r="E243" s="1174">
        <v>6</v>
      </c>
      <c r="F243" s="1174">
        <v>10</v>
      </c>
      <c r="G243" s="1174">
        <v>0.13</v>
      </c>
      <c r="H243" s="1174">
        <v>0.15</v>
      </c>
    </row>
    <row r="244" spans="1:8" s="1163" customFormat="1" ht="13.5" customHeight="1" x14ac:dyDescent="0.25">
      <c r="A244" s="1857" t="s">
        <v>1095</v>
      </c>
      <c r="B244" s="1857"/>
      <c r="C244" s="1857"/>
      <c r="D244" s="1857"/>
      <c r="E244" s="1857"/>
      <c r="F244" s="1857"/>
      <c r="G244" s="1857"/>
      <c r="H244" s="1857"/>
    </row>
    <row r="245" spans="1:8" s="1163" customFormat="1" ht="13.5" customHeight="1" x14ac:dyDescent="0.25">
      <c r="A245" s="1860" t="s">
        <v>1096</v>
      </c>
      <c r="B245" s="1860"/>
      <c r="C245" s="1860"/>
      <c r="D245" s="1860"/>
      <c r="E245" s="1860"/>
      <c r="F245" s="1860"/>
      <c r="G245" s="1860"/>
      <c r="H245" s="1860"/>
    </row>
    <row r="246" spans="1:8" s="1163" customFormat="1" ht="13.5" customHeight="1" x14ac:dyDescent="0.25">
      <c r="A246" s="1174" t="s">
        <v>1097</v>
      </c>
      <c r="B246" s="1174">
        <v>1800</v>
      </c>
      <c r="C246" s="1178">
        <v>0.84</v>
      </c>
      <c r="D246" s="1179">
        <v>0.64</v>
      </c>
      <c r="E246" s="1174">
        <v>7</v>
      </c>
      <c r="F246" s="1174">
        <v>10</v>
      </c>
      <c r="G246" s="1174">
        <v>0.87</v>
      </c>
      <c r="H246" s="1174">
        <v>0.99</v>
      </c>
    </row>
    <row r="247" spans="1:8" s="1163" customFormat="1" ht="13.5" customHeight="1" x14ac:dyDescent="0.25">
      <c r="A247" s="1182" t="s">
        <v>1019</v>
      </c>
      <c r="B247" s="1174">
        <v>1600</v>
      </c>
      <c r="C247" s="1178">
        <v>0.84</v>
      </c>
      <c r="D247" s="1179">
        <v>0.52</v>
      </c>
      <c r="E247" s="1174">
        <v>7</v>
      </c>
      <c r="F247" s="1174">
        <v>10</v>
      </c>
      <c r="G247" s="1174">
        <v>0.7</v>
      </c>
      <c r="H247" s="1174">
        <v>0.81</v>
      </c>
    </row>
    <row r="248" spans="1:8" s="1163" customFormat="1" ht="13.5" customHeight="1" x14ac:dyDescent="0.25">
      <c r="A248" s="1182" t="s">
        <v>1019</v>
      </c>
      <c r="B248" s="1174">
        <v>1400</v>
      </c>
      <c r="C248" s="1178">
        <v>0.84</v>
      </c>
      <c r="D248" s="1179">
        <v>0.41</v>
      </c>
      <c r="E248" s="1174">
        <v>7</v>
      </c>
      <c r="F248" s="1174">
        <v>10</v>
      </c>
      <c r="G248" s="1174">
        <v>0.52</v>
      </c>
      <c r="H248" s="1174">
        <v>0.57999999999999996</v>
      </c>
    </row>
    <row r="249" spans="1:8" s="1163" customFormat="1" ht="13.5" customHeight="1" x14ac:dyDescent="0.25">
      <c r="A249" s="1182" t="s">
        <v>1019</v>
      </c>
      <c r="B249" s="1174">
        <v>1200</v>
      </c>
      <c r="C249" s="1178">
        <v>0.84</v>
      </c>
      <c r="D249" s="1179">
        <v>0.28999999999999998</v>
      </c>
      <c r="E249" s="1174">
        <v>7</v>
      </c>
      <c r="F249" s="1174">
        <v>10</v>
      </c>
      <c r="G249" s="1174">
        <v>0.41</v>
      </c>
      <c r="H249" s="1174">
        <v>0.47</v>
      </c>
    </row>
    <row r="250" spans="1:8" s="1163" customFormat="1" ht="13.5" customHeight="1" x14ac:dyDescent="0.25">
      <c r="A250" s="1174" t="s">
        <v>1098</v>
      </c>
      <c r="B250" s="1174">
        <v>1600</v>
      </c>
      <c r="C250" s="1178">
        <v>0.84</v>
      </c>
      <c r="D250" s="1179">
        <v>0.52</v>
      </c>
      <c r="E250" s="1174">
        <v>4</v>
      </c>
      <c r="F250" s="1174">
        <v>6</v>
      </c>
      <c r="G250" s="1174">
        <v>0.62</v>
      </c>
      <c r="H250" s="1174">
        <v>0.68</v>
      </c>
    </row>
    <row r="251" spans="1:8" s="1163" customFormat="1" ht="13.5" customHeight="1" x14ac:dyDescent="0.25">
      <c r="A251" s="1182" t="s">
        <v>1019</v>
      </c>
      <c r="B251" s="1174">
        <v>1400</v>
      </c>
      <c r="C251" s="1178">
        <v>0.84</v>
      </c>
      <c r="D251" s="1179">
        <v>0.42</v>
      </c>
      <c r="E251" s="1174">
        <v>4</v>
      </c>
      <c r="F251" s="1174">
        <v>6</v>
      </c>
      <c r="G251" s="1174">
        <v>0.49</v>
      </c>
      <c r="H251" s="1174">
        <v>0.54</v>
      </c>
    </row>
    <row r="252" spans="1:8" s="1163" customFormat="1" ht="13.5" customHeight="1" x14ac:dyDescent="0.25">
      <c r="A252" s="1182" t="s">
        <v>1019</v>
      </c>
      <c r="B252" s="1174">
        <v>1200</v>
      </c>
      <c r="C252" s="1178">
        <v>0.84</v>
      </c>
      <c r="D252" s="1179">
        <v>0.34</v>
      </c>
      <c r="E252" s="1174">
        <v>4</v>
      </c>
      <c r="F252" s="1174">
        <v>6</v>
      </c>
      <c r="G252" s="1174">
        <v>0.4</v>
      </c>
      <c r="H252" s="1174">
        <v>0.43</v>
      </c>
    </row>
    <row r="253" spans="1:8" s="1163" customFormat="1" ht="13.5" customHeight="1" x14ac:dyDescent="0.25">
      <c r="A253" s="1182" t="s">
        <v>1019</v>
      </c>
      <c r="B253" s="1174">
        <v>1000</v>
      </c>
      <c r="C253" s="1178">
        <v>0.84</v>
      </c>
      <c r="D253" s="1179">
        <v>0.26</v>
      </c>
      <c r="E253" s="1174">
        <v>4</v>
      </c>
      <c r="F253" s="1174">
        <v>6</v>
      </c>
      <c r="G253" s="1174">
        <v>0.3</v>
      </c>
      <c r="H253" s="1174">
        <v>0.34</v>
      </c>
    </row>
    <row r="254" spans="1:8" s="1163" customFormat="1" ht="13.5" customHeight="1" x14ac:dyDescent="0.25">
      <c r="A254" s="1182" t="s">
        <v>1019</v>
      </c>
      <c r="B254" s="1181">
        <v>800</v>
      </c>
      <c r="C254" s="1178">
        <v>0.84</v>
      </c>
      <c r="D254" s="1179">
        <v>0.19</v>
      </c>
      <c r="E254" s="1174">
        <v>4</v>
      </c>
      <c r="F254" s="1174">
        <v>6</v>
      </c>
      <c r="G254" s="1174">
        <v>0.22</v>
      </c>
      <c r="H254" s="1174">
        <v>0.26</v>
      </c>
    </row>
    <row r="255" spans="1:8" s="1163" customFormat="1" ht="13.5" customHeight="1" x14ac:dyDescent="0.25">
      <c r="A255" s="1174" t="s">
        <v>1099</v>
      </c>
      <c r="B255" s="1174">
        <v>1600</v>
      </c>
      <c r="C255" s="1178">
        <v>0.84</v>
      </c>
      <c r="D255" s="1179">
        <v>0.52</v>
      </c>
      <c r="E255" s="1174">
        <v>7</v>
      </c>
      <c r="F255" s="1174">
        <v>10</v>
      </c>
      <c r="G255" s="1174">
        <v>0.64</v>
      </c>
      <c r="H255" s="1174">
        <v>0.7</v>
      </c>
    </row>
    <row r="256" spans="1:8" s="1163" customFormat="1" ht="13.5" customHeight="1" x14ac:dyDescent="0.25">
      <c r="A256" s="1174" t="s">
        <v>1022</v>
      </c>
      <c r="B256" s="1174">
        <v>1400</v>
      </c>
      <c r="C256" s="1178">
        <v>0.84</v>
      </c>
      <c r="D256" s="1179">
        <v>0.41</v>
      </c>
      <c r="E256" s="1174">
        <v>7</v>
      </c>
      <c r="F256" s="1174">
        <v>10</v>
      </c>
      <c r="G256" s="1174">
        <v>0.52</v>
      </c>
      <c r="H256" s="1174">
        <v>0.57999999999999996</v>
      </c>
    </row>
    <row r="257" spans="1:8" s="1163" customFormat="1" ht="13.5" customHeight="1" x14ac:dyDescent="0.25">
      <c r="A257" s="1182" t="s">
        <v>1019</v>
      </c>
      <c r="B257" s="1174">
        <v>1200</v>
      </c>
      <c r="C257" s="1178">
        <v>0.84</v>
      </c>
      <c r="D257" s="1174">
        <v>0.33</v>
      </c>
      <c r="E257" s="1174">
        <v>7</v>
      </c>
      <c r="F257" s="1174">
        <v>10</v>
      </c>
      <c r="G257" s="1174">
        <v>0.41</v>
      </c>
      <c r="H257" s="1174">
        <v>0.47</v>
      </c>
    </row>
    <row r="258" spans="1:8" s="1163" customFormat="1" ht="13.5" customHeight="1" x14ac:dyDescent="0.25">
      <c r="A258" s="1182" t="s">
        <v>1019</v>
      </c>
      <c r="B258" s="1174">
        <v>1000</v>
      </c>
      <c r="C258" s="1178">
        <v>0.84</v>
      </c>
      <c r="D258" s="1174">
        <v>0.24</v>
      </c>
      <c r="E258" s="1174">
        <v>7</v>
      </c>
      <c r="F258" s="1174">
        <v>10</v>
      </c>
      <c r="G258" s="1174">
        <v>0.28999999999999998</v>
      </c>
      <c r="H258" s="1174">
        <v>0.35</v>
      </c>
    </row>
    <row r="259" spans="1:8" s="1163" customFormat="1" ht="13.5" customHeight="1" x14ac:dyDescent="0.25">
      <c r="A259" s="1182" t="s">
        <v>1019</v>
      </c>
      <c r="B259" s="1181">
        <v>800</v>
      </c>
      <c r="C259" s="1178">
        <v>0.84</v>
      </c>
      <c r="D259" s="1174">
        <v>0.2</v>
      </c>
      <c r="E259" s="1174">
        <v>7</v>
      </c>
      <c r="F259" s="1174">
        <v>10</v>
      </c>
      <c r="G259" s="1174">
        <v>0.23</v>
      </c>
      <c r="H259" s="1174">
        <v>0.28999999999999998</v>
      </c>
    </row>
    <row r="260" spans="1:8" s="1163" customFormat="1" ht="13.5" customHeight="1" x14ac:dyDescent="0.25">
      <c r="A260" s="1856" t="s">
        <v>1100</v>
      </c>
      <c r="B260" s="1856"/>
      <c r="C260" s="1856"/>
      <c r="D260" s="1856"/>
      <c r="E260" s="1856"/>
      <c r="F260" s="1856"/>
      <c r="G260" s="1856"/>
      <c r="H260" s="1856"/>
    </row>
    <row r="261" spans="1:8" s="1163" customFormat="1" ht="13.5" customHeight="1" x14ac:dyDescent="0.25">
      <c r="A261" s="1176" t="s">
        <v>1101</v>
      </c>
      <c r="B261" s="1174">
        <v>1800</v>
      </c>
      <c r="C261" s="1178">
        <v>0.84</v>
      </c>
      <c r="D261" s="1174">
        <v>0.66</v>
      </c>
      <c r="E261" s="1174">
        <v>5</v>
      </c>
      <c r="F261" s="1174">
        <v>10</v>
      </c>
      <c r="G261" s="1174">
        <v>0.8</v>
      </c>
      <c r="H261" s="1174">
        <v>0.92</v>
      </c>
    </row>
    <row r="262" spans="1:8" s="1163" customFormat="1" ht="13.5" customHeight="1" x14ac:dyDescent="0.25">
      <c r="A262" s="1176" t="s">
        <v>1101</v>
      </c>
      <c r="B262" s="1174">
        <v>1600</v>
      </c>
      <c r="C262" s="1178">
        <v>0.84</v>
      </c>
      <c r="D262" s="1174">
        <v>0.57999999999999996</v>
      </c>
      <c r="E262" s="1174">
        <v>5</v>
      </c>
      <c r="F262" s="1174">
        <v>10</v>
      </c>
      <c r="G262" s="1174">
        <v>0.67</v>
      </c>
      <c r="H262" s="1174">
        <v>0.79</v>
      </c>
    </row>
    <row r="263" spans="1:8" s="1163" customFormat="1" ht="13.5" customHeight="1" x14ac:dyDescent="0.25">
      <c r="A263" s="1176" t="s">
        <v>1101</v>
      </c>
      <c r="B263" s="1174">
        <v>1400</v>
      </c>
      <c r="C263" s="1178">
        <v>0.84</v>
      </c>
      <c r="D263" s="1174">
        <v>0.47</v>
      </c>
      <c r="E263" s="1174">
        <v>5</v>
      </c>
      <c r="F263" s="1174">
        <v>10</v>
      </c>
      <c r="G263" s="1174">
        <v>0.56000000000000005</v>
      </c>
      <c r="H263" s="1174">
        <v>0.65</v>
      </c>
    </row>
    <row r="264" spans="1:8" s="1163" customFormat="1" ht="13.5" customHeight="1" x14ac:dyDescent="0.25">
      <c r="A264" s="1176" t="s">
        <v>1101</v>
      </c>
      <c r="B264" s="1174">
        <v>1200</v>
      </c>
      <c r="C264" s="1178">
        <v>0.84</v>
      </c>
      <c r="D264" s="1174">
        <v>0.36</v>
      </c>
      <c r="E264" s="1174">
        <v>5</v>
      </c>
      <c r="F264" s="1174">
        <v>10</v>
      </c>
      <c r="G264" s="1174">
        <v>0.44</v>
      </c>
      <c r="H264" s="1174">
        <v>0.52</v>
      </c>
    </row>
    <row r="265" spans="1:8" s="1163" customFormat="1" ht="13.5" customHeight="1" x14ac:dyDescent="0.25">
      <c r="A265" s="1176" t="s">
        <v>1101</v>
      </c>
      <c r="B265" s="1174">
        <v>1000</v>
      </c>
      <c r="C265" s="1178">
        <v>0.84</v>
      </c>
      <c r="D265" s="1174">
        <v>0.27</v>
      </c>
      <c r="E265" s="1174">
        <v>5</v>
      </c>
      <c r="F265" s="1174">
        <v>10</v>
      </c>
      <c r="G265" s="1174">
        <v>0.33</v>
      </c>
      <c r="H265" s="1174">
        <v>0.41</v>
      </c>
    </row>
    <row r="266" spans="1:8" s="1163" customFormat="1" ht="13.5" customHeight="1" x14ac:dyDescent="0.25">
      <c r="A266" s="1176" t="s">
        <v>1101</v>
      </c>
      <c r="B266" s="1181">
        <v>800</v>
      </c>
      <c r="C266" s="1178">
        <v>0.84</v>
      </c>
      <c r="D266" s="1174">
        <v>0.21</v>
      </c>
      <c r="E266" s="1174">
        <v>5</v>
      </c>
      <c r="F266" s="1174">
        <v>10</v>
      </c>
      <c r="G266" s="1174">
        <v>0.24</v>
      </c>
      <c r="H266" s="1174">
        <v>0.31</v>
      </c>
    </row>
    <row r="267" spans="1:8" s="1163" customFormat="1" ht="13.5" customHeight="1" x14ac:dyDescent="0.25">
      <c r="A267" s="1176" t="s">
        <v>1101</v>
      </c>
      <c r="B267" s="1174">
        <v>600</v>
      </c>
      <c r="C267" s="1178">
        <v>0.84</v>
      </c>
      <c r="D267" s="1174">
        <v>0.16</v>
      </c>
      <c r="E267" s="1174">
        <v>5</v>
      </c>
      <c r="F267" s="1174">
        <v>10</v>
      </c>
      <c r="G267" s="1174">
        <v>0.2</v>
      </c>
      <c r="H267" s="1174">
        <v>0.26</v>
      </c>
    </row>
    <row r="268" spans="1:8" s="1163" customFormat="1" ht="13.5" customHeight="1" x14ac:dyDescent="0.25">
      <c r="A268" s="1176" t="s">
        <v>1101</v>
      </c>
      <c r="B268" s="1181">
        <v>500</v>
      </c>
      <c r="C268" s="1178">
        <v>0.84</v>
      </c>
      <c r="D268" s="1174">
        <v>0.14000000000000001</v>
      </c>
      <c r="E268" s="1174">
        <v>5</v>
      </c>
      <c r="F268" s="1174">
        <v>10</v>
      </c>
      <c r="G268" s="1174">
        <v>0.17</v>
      </c>
      <c r="H268" s="1174">
        <v>0.23</v>
      </c>
    </row>
    <row r="269" spans="1:8" s="1163" customFormat="1" ht="13.5" customHeight="1" x14ac:dyDescent="0.25">
      <c r="A269" s="1174" t="s">
        <v>1102</v>
      </c>
      <c r="B269" s="1174">
        <v>1200</v>
      </c>
      <c r="C269" s="1178">
        <v>0.84</v>
      </c>
      <c r="D269" s="1174">
        <v>0.41</v>
      </c>
      <c r="E269" s="1174">
        <v>4</v>
      </c>
      <c r="F269" s="1174">
        <v>8</v>
      </c>
      <c r="G269" s="1174">
        <v>0.52</v>
      </c>
      <c r="H269" s="1174">
        <v>0.57999999999999996</v>
      </c>
    </row>
    <row r="270" spans="1:8" s="1163" customFormat="1" ht="13.5" customHeight="1" x14ac:dyDescent="0.25">
      <c r="A270" s="1174" t="s">
        <v>1022</v>
      </c>
      <c r="B270" s="1174">
        <v>1000</v>
      </c>
      <c r="C270" s="1178">
        <v>0.84</v>
      </c>
      <c r="D270" s="1174">
        <v>0.33</v>
      </c>
      <c r="E270" s="1174">
        <v>4</v>
      </c>
      <c r="F270" s="1174">
        <v>8</v>
      </c>
      <c r="G270" s="1174">
        <v>0.41</v>
      </c>
      <c r="H270" s="1174">
        <v>0.47</v>
      </c>
    </row>
    <row r="271" spans="1:8" s="1163" customFormat="1" ht="13.5" customHeight="1" x14ac:dyDescent="0.25">
      <c r="A271" s="1182" t="s">
        <v>1019</v>
      </c>
      <c r="B271" s="1181">
        <v>800</v>
      </c>
      <c r="C271" s="1178">
        <v>0.84</v>
      </c>
      <c r="D271" s="1174">
        <v>0.23</v>
      </c>
      <c r="E271" s="1174">
        <v>4</v>
      </c>
      <c r="F271" s="1174">
        <v>8</v>
      </c>
      <c r="G271" s="1174">
        <v>0.28999999999999998</v>
      </c>
      <c r="H271" s="1174">
        <v>0.35</v>
      </c>
    </row>
    <row r="272" spans="1:8" s="1163" customFormat="1" ht="13.5" customHeight="1" x14ac:dyDescent="0.25">
      <c r="A272" s="1174" t="s">
        <v>1103</v>
      </c>
      <c r="B272" s="1174">
        <v>1000</v>
      </c>
      <c r="C272" s="1178">
        <v>0.84</v>
      </c>
      <c r="D272" s="1174">
        <v>0.28000000000000003</v>
      </c>
      <c r="E272" s="1174">
        <v>9</v>
      </c>
      <c r="F272" s="1174">
        <v>13</v>
      </c>
      <c r="G272" s="1174">
        <v>0.35</v>
      </c>
      <c r="H272" s="1174">
        <v>0.41</v>
      </c>
    </row>
    <row r="273" spans="1:8" s="1163" customFormat="1" ht="13.5" customHeight="1" x14ac:dyDescent="0.25">
      <c r="A273" s="1174" t="s">
        <v>1022</v>
      </c>
      <c r="B273" s="1181">
        <v>800</v>
      </c>
      <c r="C273" s="1178">
        <v>0.84</v>
      </c>
      <c r="D273" s="1174">
        <v>0.22</v>
      </c>
      <c r="E273" s="1174">
        <v>9</v>
      </c>
      <c r="F273" s="1174">
        <v>13</v>
      </c>
      <c r="G273" s="1174">
        <v>0.28999999999999998</v>
      </c>
      <c r="H273" s="1174">
        <v>0.35</v>
      </c>
    </row>
    <row r="274" spans="1:8" s="1163" customFormat="1" ht="13.5" customHeight="1" x14ac:dyDescent="0.25">
      <c r="A274" s="1174" t="s">
        <v>1104</v>
      </c>
      <c r="B274" s="1174">
        <v>1400</v>
      </c>
      <c r="C274" s="1178">
        <v>0.84</v>
      </c>
      <c r="D274" s="1174">
        <v>0.49</v>
      </c>
      <c r="E274" s="1174">
        <v>4</v>
      </c>
      <c r="F274" s="1174">
        <v>7</v>
      </c>
      <c r="G274" s="1174">
        <v>0.56000000000000005</v>
      </c>
      <c r="H274" s="1174">
        <v>0.64</v>
      </c>
    </row>
    <row r="275" spans="1:8" s="1163" customFormat="1" ht="13.5" customHeight="1" x14ac:dyDescent="0.25">
      <c r="A275" s="1182" t="s">
        <v>1019</v>
      </c>
      <c r="B275" s="1174">
        <v>1200</v>
      </c>
      <c r="C275" s="1178">
        <v>0.84</v>
      </c>
      <c r="D275" s="1174">
        <v>0.36</v>
      </c>
      <c r="E275" s="1174">
        <v>4</v>
      </c>
      <c r="F275" s="1174">
        <v>7</v>
      </c>
      <c r="G275" s="1174">
        <v>0.44</v>
      </c>
      <c r="H275" s="1174">
        <v>0.5</v>
      </c>
    </row>
    <row r="276" spans="1:8" s="1163" customFormat="1" ht="13.5" customHeight="1" x14ac:dyDescent="0.25">
      <c r="A276" s="1182" t="s">
        <v>1019</v>
      </c>
      <c r="B276" s="1174">
        <v>1000</v>
      </c>
      <c r="C276" s="1178">
        <v>0.84</v>
      </c>
      <c r="D276" s="1174">
        <v>0.27</v>
      </c>
      <c r="E276" s="1174">
        <v>4</v>
      </c>
      <c r="F276" s="1174">
        <v>7</v>
      </c>
      <c r="G276" s="1174">
        <v>0.33</v>
      </c>
      <c r="H276" s="1174">
        <v>0.38</v>
      </c>
    </row>
    <row r="277" spans="1:8" s="1163" customFormat="1" ht="13.5" customHeight="1" x14ac:dyDescent="0.25">
      <c r="A277" s="1174" t="s">
        <v>1105</v>
      </c>
      <c r="B277" s="1174">
        <v>1200</v>
      </c>
      <c r="C277" s="1178">
        <v>0.84</v>
      </c>
      <c r="D277" s="1174">
        <v>0.28999999999999998</v>
      </c>
      <c r="E277" s="1174">
        <v>10</v>
      </c>
      <c r="F277" s="1174">
        <v>15</v>
      </c>
      <c r="G277" s="1174">
        <v>0.44</v>
      </c>
      <c r="H277" s="1174">
        <v>0.5</v>
      </c>
    </row>
    <row r="278" spans="1:8" s="1163" customFormat="1" ht="13.5" customHeight="1" x14ac:dyDescent="0.25">
      <c r="A278" s="1182" t="s">
        <v>1019</v>
      </c>
      <c r="B278" s="1174">
        <v>1000</v>
      </c>
      <c r="C278" s="1178">
        <v>0.84</v>
      </c>
      <c r="D278" s="1174">
        <v>0.22</v>
      </c>
      <c r="E278" s="1174">
        <v>10</v>
      </c>
      <c r="F278" s="1174">
        <v>15</v>
      </c>
      <c r="G278" s="1174">
        <v>0.33</v>
      </c>
      <c r="H278" s="1174">
        <v>0.38</v>
      </c>
    </row>
    <row r="279" spans="1:8" s="1163" customFormat="1" ht="13.5" customHeight="1" x14ac:dyDescent="0.25">
      <c r="A279" s="1182" t="s">
        <v>1019</v>
      </c>
      <c r="B279" s="1181">
        <v>800</v>
      </c>
      <c r="C279" s="1178">
        <v>0.84</v>
      </c>
      <c r="D279" s="1174">
        <v>0.16</v>
      </c>
      <c r="E279" s="1174">
        <v>10</v>
      </c>
      <c r="F279" s="1174">
        <v>15</v>
      </c>
      <c r="G279" s="1174">
        <v>0.27</v>
      </c>
      <c r="H279" s="1174">
        <v>0.33</v>
      </c>
    </row>
    <row r="280" spans="1:8" s="1163" customFormat="1" ht="13.5" customHeight="1" x14ac:dyDescent="0.25">
      <c r="A280" s="1182" t="s">
        <v>1019</v>
      </c>
      <c r="B280" s="1174">
        <v>600</v>
      </c>
      <c r="C280" s="1178">
        <v>0.84</v>
      </c>
      <c r="D280" s="1174">
        <v>0.12</v>
      </c>
      <c r="E280" s="1174">
        <v>10</v>
      </c>
      <c r="F280" s="1174">
        <v>15</v>
      </c>
      <c r="G280" s="1174">
        <v>0.19</v>
      </c>
      <c r="H280" s="1174">
        <v>0.23</v>
      </c>
    </row>
    <row r="281" spans="1:8" s="1163" customFormat="1" ht="13.5" customHeight="1" x14ac:dyDescent="0.25">
      <c r="A281" s="1174" t="s">
        <v>1106</v>
      </c>
      <c r="B281" s="1174">
        <v>1800</v>
      </c>
      <c r="C281" s="1178">
        <v>0.84</v>
      </c>
      <c r="D281" s="1174">
        <v>0.52</v>
      </c>
      <c r="E281" s="1174">
        <v>5</v>
      </c>
      <c r="F281" s="1174">
        <v>8</v>
      </c>
      <c r="G281" s="1174">
        <v>0.63</v>
      </c>
      <c r="H281" s="1174">
        <v>0.76</v>
      </c>
    </row>
    <row r="282" spans="1:8" s="1163" customFormat="1" ht="13.5" customHeight="1" x14ac:dyDescent="0.25">
      <c r="A282" s="1174" t="s">
        <v>1022</v>
      </c>
      <c r="B282" s="1174">
        <v>1600</v>
      </c>
      <c r="C282" s="1178">
        <v>0.84</v>
      </c>
      <c r="D282" s="1174">
        <v>0.41</v>
      </c>
      <c r="E282" s="1174">
        <v>5</v>
      </c>
      <c r="F282" s="1174">
        <v>8</v>
      </c>
      <c r="G282" s="1174">
        <v>0.52</v>
      </c>
      <c r="H282" s="1174">
        <v>0.63</v>
      </c>
    </row>
    <row r="283" spans="1:8" s="1163" customFormat="1" ht="13.5" customHeight="1" x14ac:dyDescent="0.25">
      <c r="A283" s="1182" t="s">
        <v>1019</v>
      </c>
      <c r="B283" s="1174">
        <v>1400</v>
      </c>
      <c r="C283" s="1178">
        <v>0.84</v>
      </c>
      <c r="D283" s="1174">
        <v>0.35</v>
      </c>
      <c r="E283" s="1174">
        <v>5</v>
      </c>
      <c r="F283" s="1174">
        <v>8</v>
      </c>
      <c r="G283" s="1174">
        <v>0.44</v>
      </c>
      <c r="H283" s="1174">
        <v>0.52</v>
      </c>
    </row>
    <row r="284" spans="1:8" s="1163" customFormat="1" ht="13.5" customHeight="1" x14ac:dyDescent="0.25">
      <c r="A284" s="1182" t="s">
        <v>1019</v>
      </c>
      <c r="B284" s="1174">
        <v>1200</v>
      </c>
      <c r="C284" s="1178">
        <v>0.84</v>
      </c>
      <c r="D284" s="1174">
        <v>0.28999999999999998</v>
      </c>
      <c r="E284" s="1174">
        <v>5</v>
      </c>
      <c r="F284" s="1174">
        <v>8</v>
      </c>
      <c r="G284" s="1174">
        <v>0.37</v>
      </c>
      <c r="H284" s="1174">
        <v>0.44</v>
      </c>
    </row>
    <row r="285" spans="1:8" s="1163" customFormat="1" ht="13.5" customHeight="1" x14ac:dyDescent="0.25">
      <c r="A285" s="1182" t="s">
        <v>1019</v>
      </c>
      <c r="B285" s="1174">
        <v>1000</v>
      </c>
      <c r="C285" s="1178">
        <v>0.84</v>
      </c>
      <c r="D285" s="1174">
        <v>0.23</v>
      </c>
      <c r="E285" s="1174">
        <v>5</v>
      </c>
      <c r="F285" s="1174">
        <v>8</v>
      </c>
      <c r="G285" s="1174">
        <v>0.31</v>
      </c>
      <c r="H285" s="1174">
        <v>0.37</v>
      </c>
    </row>
    <row r="286" spans="1:8" s="1163" customFormat="1" ht="13.5" customHeight="1" x14ac:dyDescent="0.25">
      <c r="A286" s="1174" t="s">
        <v>1107</v>
      </c>
      <c r="B286" s="1174">
        <v>1600</v>
      </c>
      <c r="C286" s="1178">
        <v>0.84</v>
      </c>
      <c r="D286" s="1174">
        <v>0.47</v>
      </c>
      <c r="E286" s="1174">
        <v>8</v>
      </c>
      <c r="F286" s="1174">
        <v>11</v>
      </c>
      <c r="G286" s="1174">
        <v>0.63</v>
      </c>
      <c r="H286" s="1174">
        <v>0.7</v>
      </c>
    </row>
    <row r="287" spans="1:8" s="1163" customFormat="1" ht="13.5" customHeight="1" x14ac:dyDescent="0.25">
      <c r="A287" s="1174" t="s">
        <v>1022</v>
      </c>
      <c r="B287" s="1174">
        <v>1400</v>
      </c>
      <c r="C287" s="1178">
        <v>0.84</v>
      </c>
      <c r="D287" s="1174">
        <v>0.35</v>
      </c>
      <c r="E287" s="1174">
        <v>8</v>
      </c>
      <c r="F287" s="1174">
        <v>11</v>
      </c>
      <c r="G287" s="1174">
        <v>0.52</v>
      </c>
      <c r="H287" s="1174">
        <v>0.57999999999999996</v>
      </c>
    </row>
    <row r="288" spans="1:8" s="1163" customFormat="1" ht="13.5" customHeight="1" x14ac:dyDescent="0.25">
      <c r="A288" s="1182" t="s">
        <v>1019</v>
      </c>
      <c r="B288" s="1174">
        <v>1200</v>
      </c>
      <c r="C288" s="1178">
        <v>0.84</v>
      </c>
      <c r="D288" s="1174">
        <v>0.28999999999999998</v>
      </c>
      <c r="E288" s="1174">
        <v>8</v>
      </c>
      <c r="F288" s="1174">
        <v>11</v>
      </c>
      <c r="G288" s="1174">
        <v>0.41</v>
      </c>
      <c r="H288" s="1174">
        <v>0.47</v>
      </c>
    </row>
    <row r="289" spans="1:8" s="1163" customFormat="1" ht="13.5" customHeight="1" x14ac:dyDescent="0.25">
      <c r="A289" s="1182" t="s">
        <v>1019</v>
      </c>
      <c r="B289" s="1174">
        <v>1000</v>
      </c>
      <c r="C289" s="1178">
        <v>0.84</v>
      </c>
      <c r="D289" s="1174">
        <v>0.23</v>
      </c>
      <c r="E289" s="1174">
        <v>8</v>
      </c>
      <c r="F289" s="1174">
        <v>11</v>
      </c>
      <c r="G289" s="1174">
        <v>0.35</v>
      </c>
      <c r="H289" s="1174">
        <v>0.41</v>
      </c>
    </row>
    <row r="290" spans="1:8" s="1163" customFormat="1" ht="13.5" customHeight="1" x14ac:dyDescent="0.25">
      <c r="A290" s="1182" t="s">
        <v>1019</v>
      </c>
      <c r="B290" s="1181">
        <v>800</v>
      </c>
      <c r="C290" s="1178">
        <v>0.84</v>
      </c>
      <c r="D290" s="1174">
        <v>0.17</v>
      </c>
      <c r="E290" s="1174">
        <v>8</v>
      </c>
      <c r="F290" s="1174">
        <v>11</v>
      </c>
      <c r="G290" s="1174">
        <v>0.28999999999999998</v>
      </c>
      <c r="H290" s="1174">
        <v>0.35</v>
      </c>
    </row>
    <row r="291" spans="1:8" s="1163" customFormat="1" ht="13.5" customHeight="1" x14ac:dyDescent="0.25">
      <c r="A291" s="1174" t="s">
        <v>1108</v>
      </c>
      <c r="B291" s="1174">
        <v>1800</v>
      </c>
      <c r="C291" s="1178">
        <v>0.84</v>
      </c>
      <c r="D291" s="1174">
        <v>0.57999999999999996</v>
      </c>
      <c r="E291" s="1174">
        <v>5</v>
      </c>
      <c r="F291" s="1174">
        <v>8</v>
      </c>
      <c r="G291" s="1174">
        <v>0.7</v>
      </c>
      <c r="H291" s="1174">
        <v>0.81</v>
      </c>
    </row>
    <row r="292" spans="1:8" s="1163" customFormat="1" ht="13.5" customHeight="1" x14ac:dyDescent="0.25">
      <c r="A292" s="1174" t="s">
        <v>1108</v>
      </c>
      <c r="B292" s="1174">
        <v>1600</v>
      </c>
      <c r="C292" s="1178">
        <v>0.84</v>
      </c>
      <c r="D292" s="1174">
        <v>0.47</v>
      </c>
      <c r="E292" s="1174">
        <v>5</v>
      </c>
      <c r="F292" s="1174">
        <v>8</v>
      </c>
      <c r="G292" s="1174">
        <v>0.57999999999999996</v>
      </c>
      <c r="H292" s="1174">
        <v>0.64</v>
      </c>
    </row>
    <row r="293" spans="1:8" s="1163" customFormat="1" ht="13.5" customHeight="1" x14ac:dyDescent="0.25">
      <c r="A293" s="1174" t="s">
        <v>1022</v>
      </c>
      <c r="B293" s="1174">
        <v>1400</v>
      </c>
      <c r="C293" s="1178">
        <v>0.84</v>
      </c>
      <c r="D293" s="1174">
        <v>0.41</v>
      </c>
      <c r="E293" s="1174">
        <v>5</v>
      </c>
      <c r="F293" s="1174">
        <v>8</v>
      </c>
      <c r="G293" s="1174">
        <v>0.52</v>
      </c>
      <c r="H293" s="1174">
        <v>0.57999999999999996</v>
      </c>
    </row>
    <row r="294" spans="1:8" s="1163" customFormat="1" ht="13.5" customHeight="1" x14ac:dyDescent="0.25">
      <c r="A294" s="1182" t="s">
        <v>1019</v>
      </c>
      <c r="B294" s="1174">
        <v>1200</v>
      </c>
      <c r="C294" s="1178">
        <v>0.84</v>
      </c>
      <c r="D294" s="1174">
        <v>0.35</v>
      </c>
      <c r="E294" s="1174">
        <v>5</v>
      </c>
      <c r="F294" s="1174">
        <v>8</v>
      </c>
      <c r="G294" s="1174">
        <v>0.47</v>
      </c>
      <c r="H294" s="1174">
        <v>0.52</v>
      </c>
    </row>
    <row r="295" spans="1:8" s="1163" customFormat="1" ht="13.5" customHeight="1" x14ac:dyDescent="0.25">
      <c r="A295" s="1174" t="s">
        <v>1109</v>
      </c>
      <c r="B295" s="1174">
        <v>1800</v>
      </c>
      <c r="C295" s="1178">
        <v>0.84</v>
      </c>
      <c r="D295" s="1174">
        <v>0.7</v>
      </c>
      <c r="E295" s="1174">
        <v>5</v>
      </c>
      <c r="F295" s="1174">
        <v>8</v>
      </c>
      <c r="G295" s="1174">
        <v>0.85</v>
      </c>
      <c r="H295" s="1174">
        <v>0.93</v>
      </c>
    </row>
    <row r="296" spans="1:8" s="1163" customFormat="1" ht="13.5" customHeight="1" x14ac:dyDescent="0.25">
      <c r="A296" s="1174" t="s">
        <v>1022</v>
      </c>
      <c r="B296" s="1174">
        <v>1600</v>
      </c>
      <c r="C296" s="1178">
        <v>0.84</v>
      </c>
      <c r="D296" s="1174">
        <v>0.57999999999999996</v>
      </c>
      <c r="E296" s="1174">
        <v>5</v>
      </c>
      <c r="F296" s="1174">
        <v>8</v>
      </c>
      <c r="G296" s="1174">
        <v>0.72</v>
      </c>
      <c r="H296" s="1174">
        <v>0.78</v>
      </c>
    </row>
    <row r="297" spans="1:8" s="1163" customFormat="1" ht="13.5" customHeight="1" x14ac:dyDescent="0.25">
      <c r="A297" s="1182" t="s">
        <v>1019</v>
      </c>
      <c r="B297" s="1174">
        <v>1400</v>
      </c>
      <c r="C297" s="1178">
        <v>0.84</v>
      </c>
      <c r="D297" s="1174">
        <v>0.47</v>
      </c>
      <c r="E297" s="1174">
        <v>5</v>
      </c>
      <c r="F297" s="1174">
        <v>8</v>
      </c>
      <c r="G297" s="1174">
        <v>0.59</v>
      </c>
      <c r="H297" s="1174">
        <v>0.65</v>
      </c>
    </row>
    <row r="298" spans="1:8" s="1163" customFormat="1" ht="13.5" customHeight="1" x14ac:dyDescent="0.25">
      <c r="A298" s="1182" t="s">
        <v>1019</v>
      </c>
      <c r="B298" s="1174">
        <v>1200</v>
      </c>
      <c r="C298" s="1178">
        <v>0.84</v>
      </c>
      <c r="D298" s="1174">
        <v>0.35</v>
      </c>
      <c r="E298" s="1174">
        <v>5</v>
      </c>
      <c r="F298" s="1174">
        <v>8</v>
      </c>
      <c r="G298" s="1174">
        <v>0.48</v>
      </c>
      <c r="H298" s="1174">
        <v>0.54</v>
      </c>
    </row>
    <row r="299" spans="1:8" s="1163" customFormat="1" ht="13.5" customHeight="1" x14ac:dyDescent="0.25">
      <c r="A299" s="1182" t="s">
        <v>1019</v>
      </c>
      <c r="B299" s="1174">
        <v>1000</v>
      </c>
      <c r="C299" s="1178">
        <v>0.84</v>
      </c>
      <c r="D299" s="1174">
        <v>0.28999999999999998</v>
      </c>
      <c r="E299" s="1174">
        <v>5</v>
      </c>
      <c r="F299" s="1174">
        <v>8</v>
      </c>
      <c r="G299" s="1174">
        <v>0.38</v>
      </c>
      <c r="H299" s="1174">
        <v>0.44</v>
      </c>
    </row>
    <row r="300" spans="1:8" s="1163" customFormat="1" ht="13.5" customHeight="1" x14ac:dyDescent="0.25">
      <c r="A300" s="1174" t="s">
        <v>1110</v>
      </c>
      <c r="B300" s="1174">
        <v>1400</v>
      </c>
      <c r="C300" s="1178">
        <v>0.84</v>
      </c>
      <c r="D300" s="1174">
        <v>0.47</v>
      </c>
      <c r="E300" s="1174">
        <v>5</v>
      </c>
      <c r="F300" s="1174">
        <v>8</v>
      </c>
      <c r="G300" s="1174">
        <v>0.52</v>
      </c>
      <c r="H300" s="1174">
        <v>0.57999999999999996</v>
      </c>
    </row>
    <row r="301" spans="1:8" s="1163" customFormat="1" ht="13.5" customHeight="1" x14ac:dyDescent="0.25">
      <c r="A301" s="1174" t="s">
        <v>1022</v>
      </c>
      <c r="B301" s="1174">
        <v>1200</v>
      </c>
      <c r="C301" s="1178">
        <v>0.84</v>
      </c>
      <c r="D301" s="1174">
        <v>0.35</v>
      </c>
      <c r="E301" s="1174">
        <v>5</v>
      </c>
      <c r="F301" s="1174">
        <v>8</v>
      </c>
      <c r="G301" s="1174">
        <v>0.41</v>
      </c>
      <c r="H301" s="1174">
        <v>0.47</v>
      </c>
    </row>
    <row r="302" spans="1:8" s="1163" customFormat="1" ht="13.5" customHeight="1" x14ac:dyDescent="0.25">
      <c r="A302" s="1182" t="s">
        <v>1019</v>
      </c>
      <c r="B302" s="1174">
        <v>1000</v>
      </c>
      <c r="C302" s="1178">
        <v>0.84</v>
      </c>
      <c r="D302" s="1174">
        <v>0.24</v>
      </c>
      <c r="E302" s="1174">
        <v>5</v>
      </c>
      <c r="F302" s="1174">
        <v>8</v>
      </c>
      <c r="G302" s="1174">
        <v>0.3</v>
      </c>
      <c r="H302" s="1174">
        <v>0.35</v>
      </c>
    </row>
    <row r="303" spans="1:8" s="1163" customFormat="1" ht="13.5" customHeight="1" x14ac:dyDescent="0.25">
      <c r="A303" s="1174" t="s">
        <v>1111</v>
      </c>
      <c r="B303" s="1181">
        <v>800</v>
      </c>
      <c r="C303" s="1178">
        <v>0.84</v>
      </c>
      <c r="D303" s="1174">
        <v>0.21</v>
      </c>
      <c r="E303" s="1174">
        <v>8</v>
      </c>
      <c r="F303" s="1174">
        <v>13</v>
      </c>
      <c r="G303" s="1174">
        <v>0.23</v>
      </c>
      <c r="H303" s="1174">
        <v>0.26</v>
      </c>
    </row>
    <row r="304" spans="1:8" s="1163" customFormat="1" ht="13.5" customHeight="1" x14ac:dyDescent="0.25">
      <c r="A304" s="1182" t="s">
        <v>1019</v>
      </c>
      <c r="B304" s="1174">
        <v>600</v>
      </c>
      <c r="C304" s="1178">
        <v>0.84</v>
      </c>
      <c r="D304" s="1174">
        <v>0.14000000000000001</v>
      </c>
      <c r="E304" s="1174">
        <v>8</v>
      </c>
      <c r="F304" s="1174">
        <v>13</v>
      </c>
      <c r="G304" s="1174">
        <v>0.16</v>
      </c>
      <c r="H304" s="1174">
        <v>0.17</v>
      </c>
    </row>
    <row r="305" spans="1:8" s="1163" customFormat="1" ht="13.5" customHeight="1" x14ac:dyDescent="0.25">
      <c r="A305" s="1182" t="s">
        <v>1019</v>
      </c>
      <c r="B305" s="1174">
        <v>400</v>
      </c>
      <c r="C305" s="1178">
        <v>0.84</v>
      </c>
      <c r="D305" s="1174">
        <v>0.09</v>
      </c>
      <c r="E305" s="1174">
        <v>8</v>
      </c>
      <c r="F305" s="1174">
        <v>13</v>
      </c>
      <c r="G305" s="1174">
        <v>0.11</v>
      </c>
      <c r="H305" s="1174">
        <v>0.13</v>
      </c>
    </row>
    <row r="306" spans="1:8" s="1163" customFormat="1" ht="13.5" customHeight="1" x14ac:dyDescent="0.25">
      <c r="A306" s="1182" t="s">
        <v>1019</v>
      </c>
      <c r="B306" s="1181">
        <v>300</v>
      </c>
      <c r="C306" s="1178">
        <v>0.84</v>
      </c>
      <c r="D306" s="1174">
        <v>0.08</v>
      </c>
      <c r="E306" s="1174">
        <v>8</v>
      </c>
      <c r="F306" s="1174">
        <v>13</v>
      </c>
      <c r="G306" s="1174">
        <v>0.09</v>
      </c>
      <c r="H306" s="1174">
        <v>0.11</v>
      </c>
    </row>
    <row r="307" spans="1:8" s="1163" customFormat="1" ht="13.5" customHeight="1" x14ac:dyDescent="0.25">
      <c r="A307" s="1856" t="s">
        <v>1112</v>
      </c>
      <c r="B307" s="1856"/>
      <c r="C307" s="1856"/>
      <c r="D307" s="1856"/>
      <c r="E307" s="1856"/>
      <c r="F307" s="1856"/>
      <c r="G307" s="1856"/>
      <c r="H307" s="1856"/>
    </row>
    <row r="308" spans="1:8" s="1163" customFormat="1" ht="13.5" customHeight="1" x14ac:dyDescent="0.25">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25">
      <c r="A309" s="1180"/>
      <c r="B309" s="1180"/>
      <c r="C309" s="1180"/>
      <c r="D309" s="1180"/>
      <c r="E309" s="1180"/>
      <c r="F309" s="1180"/>
      <c r="G309" s="1180"/>
      <c r="H309" s="1180"/>
    </row>
    <row r="310" spans="1:8" s="1163" customFormat="1" ht="13.5" customHeight="1" x14ac:dyDescent="0.25">
      <c r="A310" s="1182" t="s">
        <v>1019</v>
      </c>
      <c r="B310" s="1181">
        <v>500</v>
      </c>
      <c r="C310" s="1178">
        <v>1.06</v>
      </c>
      <c r="D310" s="1174">
        <v>0.125</v>
      </c>
      <c r="E310" s="1174">
        <v>4</v>
      </c>
      <c r="F310" s="1174">
        <v>8</v>
      </c>
      <c r="G310" s="1174">
        <v>0.14000000000000001</v>
      </c>
      <c r="H310" s="1174">
        <v>0.16</v>
      </c>
    </row>
    <row r="311" spans="1:8" s="1163" customFormat="1" ht="13.5" customHeight="1" x14ac:dyDescent="0.25">
      <c r="A311" s="1182" t="s">
        <v>1019</v>
      </c>
      <c r="B311" s="1174">
        <v>400</v>
      </c>
      <c r="C311" s="1178">
        <v>1.06</v>
      </c>
      <c r="D311" s="1174">
        <v>0.105</v>
      </c>
      <c r="E311" s="1174">
        <v>4</v>
      </c>
      <c r="F311" s="1174">
        <v>8</v>
      </c>
      <c r="G311" s="1174">
        <v>0.12</v>
      </c>
      <c r="H311" s="1174">
        <v>0.13500000000000001</v>
      </c>
    </row>
    <row r="312" spans="1:8" s="1163" customFormat="1" ht="13.5" customHeight="1" x14ac:dyDescent="0.25">
      <c r="A312" s="1182" t="s">
        <v>1019</v>
      </c>
      <c r="B312" s="1181">
        <v>300</v>
      </c>
      <c r="C312" s="1178">
        <v>1.06</v>
      </c>
      <c r="D312" s="1174">
        <v>8.5000000000000006E-2</v>
      </c>
      <c r="E312" s="1174">
        <v>4</v>
      </c>
      <c r="F312" s="1174">
        <v>8</v>
      </c>
      <c r="G312" s="1174">
        <v>0.09</v>
      </c>
      <c r="H312" s="1174">
        <v>0.11</v>
      </c>
    </row>
    <row r="313" spans="1:8" s="1163" customFormat="1" ht="13.5" customHeight="1" x14ac:dyDescent="0.25">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25">
      <c r="A314" s="1182" t="s">
        <v>1019</v>
      </c>
      <c r="B314" s="1181">
        <v>150</v>
      </c>
      <c r="C314" s="1178">
        <v>1.06</v>
      </c>
      <c r="D314" s="1174">
        <v>5.5E-2</v>
      </c>
      <c r="E314" s="1174">
        <v>4</v>
      </c>
      <c r="F314" s="1174">
        <v>8</v>
      </c>
      <c r="G314" s="1174">
        <v>5.7000000000000002E-2</v>
      </c>
      <c r="H314" s="1174">
        <v>0.06</v>
      </c>
    </row>
    <row r="315" spans="1:8" s="1163" customFormat="1" ht="13.5" customHeight="1" x14ac:dyDescent="0.25">
      <c r="A315" s="1176" t="s">
        <v>1114</v>
      </c>
      <c r="B315" s="1174">
        <v>1000</v>
      </c>
      <c r="C315" s="1178">
        <v>0.84</v>
      </c>
      <c r="D315" s="1174">
        <v>0.28999999999999998</v>
      </c>
      <c r="E315" s="1174">
        <v>10</v>
      </c>
      <c r="F315" s="1174">
        <v>15</v>
      </c>
      <c r="G315" s="1174">
        <v>0.41</v>
      </c>
      <c r="H315" s="1174">
        <v>0.47</v>
      </c>
    </row>
    <row r="316" spans="1:8" s="1163" customFormat="1" ht="13.5" customHeight="1" x14ac:dyDescent="0.25">
      <c r="A316" s="1174" t="s">
        <v>1022</v>
      </c>
      <c r="B316" s="1181">
        <v>800</v>
      </c>
      <c r="C316" s="1178">
        <v>0.84</v>
      </c>
      <c r="D316" s="1174">
        <v>0.21</v>
      </c>
      <c r="E316" s="1174">
        <v>10</v>
      </c>
      <c r="F316" s="1174">
        <v>15</v>
      </c>
      <c r="G316" s="1174">
        <v>0.33</v>
      </c>
      <c r="H316" s="1174">
        <v>0.37</v>
      </c>
    </row>
    <row r="317" spans="1:8" s="1163" customFormat="1" ht="13.5" customHeight="1" x14ac:dyDescent="0.25">
      <c r="A317" s="1182" t="s">
        <v>1019</v>
      </c>
      <c r="B317" s="1174">
        <v>600</v>
      </c>
      <c r="C317" s="1178">
        <v>0.84</v>
      </c>
      <c r="D317" s="1174">
        <v>0.14000000000000001</v>
      </c>
      <c r="E317" s="1174">
        <v>8</v>
      </c>
      <c r="F317" s="1174">
        <v>12</v>
      </c>
      <c r="G317" s="1174">
        <v>0.22</v>
      </c>
      <c r="H317" s="1174">
        <v>0.26</v>
      </c>
    </row>
    <row r="318" spans="1:8" s="1163" customFormat="1" ht="13.5" customHeight="1" x14ac:dyDescent="0.25">
      <c r="A318" s="1182" t="s">
        <v>1019</v>
      </c>
      <c r="B318" s="1174">
        <v>400</v>
      </c>
      <c r="C318" s="1178">
        <v>0.84</v>
      </c>
      <c r="D318" s="1174">
        <v>0.11</v>
      </c>
      <c r="E318" s="1174">
        <v>8</v>
      </c>
      <c r="F318" s="1174">
        <v>12</v>
      </c>
      <c r="G318" s="1174">
        <v>0.14000000000000001</v>
      </c>
      <c r="H318" s="1174">
        <v>0.15</v>
      </c>
    </row>
    <row r="319" spans="1:8" s="1163" customFormat="1" ht="13.5" customHeight="1" x14ac:dyDescent="0.25">
      <c r="A319" s="1174" t="s">
        <v>1114</v>
      </c>
      <c r="B319" s="1181">
        <v>300</v>
      </c>
      <c r="C319" s="1178">
        <v>0.84</v>
      </c>
      <c r="D319" s="1174">
        <v>0.08</v>
      </c>
      <c r="E319" s="1174">
        <v>8</v>
      </c>
      <c r="F319" s="1174">
        <v>12</v>
      </c>
      <c r="G319" s="1174">
        <v>0.11</v>
      </c>
      <c r="H319" s="1174">
        <v>0.13</v>
      </c>
    </row>
    <row r="320" spans="1:8" s="1163" customFormat="1" ht="13.5" customHeight="1" x14ac:dyDescent="0.25">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25">
      <c r="A321" s="1174" t="s">
        <v>1022</v>
      </c>
      <c r="B321" s="1174">
        <v>1000</v>
      </c>
      <c r="C321" s="1178">
        <v>0.84</v>
      </c>
      <c r="D321" s="1174">
        <v>0.23</v>
      </c>
      <c r="E321" s="1174">
        <v>15</v>
      </c>
      <c r="F321" s="1174">
        <v>22</v>
      </c>
      <c r="G321" s="1174">
        <v>0.44</v>
      </c>
      <c r="H321" s="1174">
        <v>0.5</v>
      </c>
    </row>
    <row r="322" spans="1:8" s="1163" customFormat="1" ht="13.5" customHeight="1" x14ac:dyDescent="0.25">
      <c r="A322" s="1182" t="s">
        <v>1019</v>
      </c>
      <c r="B322" s="1181">
        <v>800</v>
      </c>
      <c r="C322" s="1178">
        <v>0.84</v>
      </c>
      <c r="D322" s="1174">
        <v>0.17</v>
      </c>
      <c r="E322" s="1174">
        <v>15</v>
      </c>
      <c r="F322" s="1174">
        <v>22</v>
      </c>
      <c r="G322" s="1174">
        <v>0.35</v>
      </c>
      <c r="H322" s="1174">
        <v>0.41</v>
      </c>
    </row>
    <row r="323" spans="1:8" s="1163" customFormat="1" ht="13.5" customHeight="1" x14ac:dyDescent="0.25">
      <c r="A323" s="1865" t="s">
        <v>1116</v>
      </c>
      <c r="B323" s="1865"/>
      <c r="C323" s="1865"/>
      <c r="D323" s="1865"/>
      <c r="E323" s="1865"/>
      <c r="F323" s="1865"/>
      <c r="G323" s="1865"/>
      <c r="H323" s="1865"/>
    </row>
    <row r="324" spans="1:8" s="1163" customFormat="1" ht="13.5" customHeight="1" x14ac:dyDescent="0.25">
      <c r="A324" s="1174" t="s">
        <v>1117</v>
      </c>
      <c r="B324" s="1174">
        <v>1800</v>
      </c>
      <c r="C324" s="1178">
        <v>0.88</v>
      </c>
      <c r="D324" s="1174">
        <v>0.56000000000000005</v>
      </c>
      <c r="E324" s="1174">
        <v>1</v>
      </c>
      <c r="F324" s="1174">
        <v>2</v>
      </c>
      <c r="G324" s="1174">
        <v>0.7</v>
      </c>
      <c r="H324" s="1174">
        <v>0.81</v>
      </c>
    </row>
    <row r="325" spans="1:8" s="1163" customFormat="1" ht="13.5" customHeight="1" x14ac:dyDescent="0.25">
      <c r="A325" s="1174" t="s">
        <v>1118</v>
      </c>
      <c r="B325" s="1174">
        <v>1700</v>
      </c>
      <c r="C325" s="1178">
        <v>0.88</v>
      </c>
      <c r="D325" s="1174">
        <v>0.52</v>
      </c>
      <c r="E325" s="1174">
        <v>1.5</v>
      </c>
      <c r="F325" s="1174">
        <v>3</v>
      </c>
      <c r="G325" s="1174">
        <v>0.64</v>
      </c>
      <c r="H325" s="1174">
        <v>0.76</v>
      </c>
    </row>
    <row r="326" spans="1:8" s="1163" customFormat="1" ht="13.5" customHeight="1" x14ac:dyDescent="0.25">
      <c r="A326" s="1174" t="s">
        <v>1119</v>
      </c>
      <c r="B326" s="1174">
        <v>1600</v>
      </c>
      <c r="C326" s="1178">
        <v>0.88</v>
      </c>
      <c r="D326" s="1174">
        <v>0.47</v>
      </c>
      <c r="E326" s="1174">
        <v>2</v>
      </c>
      <c r="F326" s="1174">
        <v>4</v>
      </c>
      <c r="G326" s="1174">
        <v>0.57999999999999996</v>
      </c>
      <c r="H326" s="1174">
        <v>0.7</v>
      </c>
    </row>
    <row r="327" spans="1:8" s="1163" customFormat="1" ht="13.5" customHeight="1" x14ac:dyDescent="0.25">
      <c r="A327" s="1174" t="s">
        <v>1120</v>
      </c>
      <c r="B327" s="1174">
        <v>1800</v>
      </c>
      <c r="C327" s="1178">
        <v>0.88</v>
      </c>
      <c r="D327" s="1174">
        <v>0.7</v>
      </c>
      <c r="E327" s="1174">
        <v>2</v>
      </c>
      <c r="F327" s="1174">
        <v>4</v>
      </c>
      <c r="G327" s="1174">
        <v>0.76</v>
      </c>
      <c r="H327" s="1174">
        <v>0.87</v>
      </c>
    </row>
    <row r="328" spans="1:8" s="1163" customFormat="1" ht="13.5" customHeight="1" x14ac:dyDescent="0.25">
      <c r="A328" s="1174" t="s">
        <v>1121</v>
      </c>
      <c r="B328" s="1174">
        <v>1200</v>
      </c>
      <c r="C328" s="1178">
        <v>0.88</v>
      </c>
      <c r="D328" s="1174">
        <v>0.35</v>
      </c>
      <c r="E328" s="1174">
        <v>2</v>
      </c>
      <c r="F328" s="1174">
        <v>4</v>
      </c>
      <c r="G328" s="1174">
        <v>0.47</v>
      </c>
      <c r="H328" s="1174">
        <v>0.52</v>
      </c>
    </row>
    <row r="329" spans="1:8" s="1163" customFormat="1" ht="13.5" customHeight="1" x14ac:dyDescent="0.25">
      <c r="A329" s="1174" t="s">
        <v>1022</v>
      </c>
      <c r="B329" s="1174">
        <v>1000</v>
      </c>
      <c r="C329" s="1178">
        <v>0.88</v>
      </c>
      <c r="D329" s="1174">
        <v>0.28999999999999998</v>
      </c>
      <c r="E329" s="1174">
        <v>2</v>
      </c>
      <c r="F329" s="1174">
        <v>4</v>
      </c>
      <c r="G329" s="1174">
        <v>0.41</v>
      </c>
      <c r="H329" s="1174">
        <v>0.47</v>
      </c>
    </row>
    <row r="330" spans="1:8" s="1163" customFormat="1" ht="13.5" customHeight="1" x14ac:dyDescent="0.25">
      <c r="A330" s="1174" t="s">
        <v>1122</v>
      </c>
      <c r="B330" s="1174">
        <v>1500</v>
      </c>
      <c r="C330" s="1178">
        <v>0.88</v>
      </c>
      <c r="D330" s="1174">
        <v>0.52</v>
      </c>
      <c r="E330" s="1174">
        <v>1.5</v>
      </c>
      <c r="F330" s="1174">
        <v>3</v>
      </c>
      <c r="G330" s="1174">
        <v>0.64</v>
      </c>
      <c r="H330" s="1174">
        <v>0.7</v>
      </c>
    </row>
    <row r="331" spans="1:8" s="1163" customFormat="1" ht="13.5" customHeight="1" x14ac:dyDescent="0.25">
      <c r="A331" s="1865" t="s">
        <v>1123</v>
      </c>
      <c r="B331" s="1865"/>
      <c r="C331" s="1865"/>
      <c r="D331" s="1865"/>
      <c r="E331" s="1865"/>
      <c r="F331" s="1865"/>
      <c r="G331" s="1865"/>
      <c r="H331" s="1865"/>
    </row>
    <row r="332" spans="1:8" s="1163" customFormat="1" ht="13.5" customHeight="1" x14ac:dyDescent="0.25">
      <c r="A332" s="1174" t="s">
        <v>1124</v>
      </c>
      <c r="B332" s="1174">
        <v>1600</v>
      </c>
      <c r="C332" s="1178">
        <v>0.88</v>
      </c>
      <c r="D332" s="1174">
        <v>0.47</v>
      </c>
      <c r="E332" s="1174">
        <v>1</v>
      </c>
      <c r="F332" s="1174">
        <v>2</v>
      </c>
      <c r="G332" s="1174">
        <v>0.57999999999999996</v>
      </c>
      <c r="H332" s="1174">
        <v>0.64</v>
      </c>
    </row>
    <row r="333" spans="1:8" s="1163" customFormat="1" ht="13.5" customHeight="1" x14ac:dyDescent="0.25">
      <c r="A333" s="1174" t="s">
        <v>1125</v>
      </c>
      <c r="B333" s="1174">
        <v>1400</v>
      </c>
      <c r="C333" s="1178">
        <v>0.88</v>
      </c>
      <c r="D333" s="1174">
        <v>0.41</v>
      </c>
      <c r="E333" s="1174">
        <v>1</v>
      </c>
      <c r="F333" s="1174">
        <v>2</v>
      </c>
      <c r="G333" s="1174">
        <v>0.52</v>
      </c>
      <c r="H333" s="1174">
        <v>0.57999999999999996</v>
      </c>
    </row>
    <row r="334" spans="1:8" s="1163" customFormat="1" ht="13.5" customHeight="1" x14ac:dyDescent="0.25">
      <c r="A334" s="1174" t="s">
        <v>1126</v>
      </c>
      <c r="B334" s="1174">
        <v>1200</v>
      </c>
      <c r="C334" s="1178">
        <v>0.88</v>
      </c>
      <c r="D334" s="1174">
        <v>0.35</v>
      </c>
      <c r="E334" s="1174">
        <v>1</v>
      </c>
      <c r="F334" s="1174">
        <v>2</v>
      </c>
      <c r="G334" s="1174">
        <v>0.47</v>
      </c>
      <c r="H334" s="1174">
        <v>0.52</v>
      </c>
    </row>
    <row r="335" spans="1:8" s="1163" customFormat="1" ht="13.5" customHeight="1" x14ac:dyDescent="0.25">
      <c r="A335" s="1174" t="s">
        <v>1127</v>
      </c>
      <c r="B335" s="1174">
        <v>1500</v>
      </c>
      <c r="C335" s="1178">
        <v>0.88</v>
      </c>
      <c r="D335" s="1174">
        <v>0.64</v>
      </c>
      <c r="E335" s="1174">
        <v>2</v>
      </c>
      <c r="F335" s="1174">
        <v>4</v>
      </c>
      <c r="G335" s="1174">
        <v>0.7</v>
      </c>
      <c r="H335" s="1174">
        <v>0.81</v>
      </c>
    </row>
    <row r="336" spans="1:8" s="1163" customFormat="1" ht="13.5" customHeight="1" x14ac:dyDescent="0.25">
      <c r="A336" s="1174" t="s">
        <v>1128</v>
      </c>
      <c r="B336" s="1855">
        <v>1400</v>
      </c>
      <c r="C336" s="1858">
        <v>0.88</v>
      </c>
      <c r="D336" s="1855">
        <v>0.52</v>
      </c>
      <c r="E336" s="1855">
        <v>2</v>
      </c>
      <c r="F336" s="1855">
        <v>4</v>
      </c>
      <c r="G336" s="1855">
        <v>0.64</v>
      </c>
      <c r="H336" s="1855">
        <v>0.76</v>
      </c>
    </row>
    <row r="337" spans="1:10" s="1163" customFormat="1" ht="13.5" customHeight="1" x14ac:dyDescent="0.25">
      <c r="A337" s="1174" t="s">
        <v>1129</v>
      </c>
      <c r="B337" s="1855"/>
      <c r="C337" s="1858"/>
      <c r="D337" s="1855"/>
      <c r="E337" s="1855"/>
      <c r="F337" s="1855"/>
      <c r="G337" s="1855"/>
      <c r="H337" s="1855"/>
    </row>
    <row r="338" spans="1:10" s="1163" customFormat="1" ht="13.5" customHeight="1" x14ac:dyDescent="0.25">
      <c r="A338" s="1856" t="s">
        <v>1130</v>
      </c>
      <c r="B338" s="1856"/>
      <c r="C338" s="1856"/>
      <c r="D338" s="1856"/>
      <c r="E338" s="1856"/>
      <c r="F338" s="1856"/>
      <c r="G338" s="1856"/>
      <c r="H338" s="1856"/>
    </row>
    <row r="339" spans="1:10" s="1163" customFormat="1" ht="13.5" customHeight="1" x14ac:dyDescent="0.25">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25">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25">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25">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25">
      <c r="A343" s="1174" t="s">
        <v>1135</v>
      </c>
      <c r="B343" s="1174">
        <v>600</v>
      </c>
      <c r="C343" s="1178">
        <v>2.2999999999999998</v>
      </c>
      <c r="D343" s="1174">
        <v>0.12</v>
      </c>
      <c r="E343" s="1174">
        <v>10</v>
      </c>
      <c r="F343" s="1174">
        <v>13</v>
      </c>
      <c r="G343" s="1174">
        <v>0.15</v>
      </c>
      <c r="H343" s="1174">
        <v>0.18</v>
      </c>
    </row>
    <row r="344" spans="1:10" s="1163" customFormat="1" ht="13.5" customHeight="1" x14ac:dyDescent="0.25">
      <c r="A344" s="1174" t="s">
        <v>1136</v>
      </c>
      <c r="B344" s="1174">
        <v>1000</v>
      </c>
      <c r="C344" s="1178">
        <v>2.2999999999999998</v>
      </c>
      <c r="D344" s="1174">
        <v>0.18</v>
      </c>
      <c r="E344" s="1174">
        <v>5</v>
      </c>
      <c r="F344" s="1174">
        <v>10</v>
      </c>
      <c r="G344" s="1174">
        <v>0.21</v>
      </c>
      <c r="H344" s="1174">
        <v>0.23</v>
      </c>
    </row>
    <row r="345" spans="1:10" s="1163" customFormat="1" ht="13.5" customHeight="1" x14ac:dyDescent="0.25">
      <c r="A345" s="1174" t="s">
        <v>1137</v>
      </c>
      <c r="B345" s="1174">
        <v>650</v>
      </c>
      <c r="C345" s="1178">
        <v>2.2999999999999998</v>
      </c>
      <c r="D345" s="1174">
        <v>0.13</v>
      </c>
      <c r="E345" s="1174">
        <v>6</v>
      </c>
      <c r="F345" s="1174">
        <v>12</v>
      </c>
      <c r="G345" s="1174">
        <v>0.15</v>
      </c>
      <c r="H345" s="1174">
        <v>0.18</v>
      </c>
    </row>
    <row r="346" spans="1:10" s="1163" customFormat="1" ht="13.5" customHeight="1" x14ac:dyDescent="0.25">
      <c r="A346" s="1857" t="s">
        <v>1138</v>
      </c>
      <c r="B346" s="1857"/>
      <c r="C346" s="1857"/>
      <c r="D346" s="1857"/>
      <c r="E346" s="1857"/>
      <c r="F346" s="1857"/>
      <c r="G346" s="1857"/>
      <c r="H346" s="1857"/>
      <c r="J346" s="1163">
        <v>4.1000000000000002E-2</v>
      </c>
    </row>
    <row r="347" spans="1:10" s="1163" customFormat="1" ht="13.5" customHeight="1" x14ac:dyDescent="0.25">
      <c r="A347" s="1856" t="s">
        <v>1139</v>
      </c>
      <c r="B347" s="1856"/>
      <c r="C347" s="1856"/>
      <c r="D347" s="1856"/>
      <c r="E347" s="1856"/>
      <c r="F347" s="1856"/>
      <c r="G347" s="1856"/>
      <c r="H347" s="1856"/>
    </row>
    <row r="348" spans="1:10" s="1163" customFormat="1" ht="13.5" customHeight="1" x14ac:dyDescent="0.25">
      <c r="A348" s="1183" t="s">
        <v>1140</v>
      </c>
      <c r="B348" s="1174">
        <v>2500</v>
      </c>
      <c r="C348" s="1174">
        <v>0.84</v>
      </c>
      <c r="D348" s="1174">
        <v>1.69</v>
      </c>
      <c r="E348" s="1174">
        <v>2</v>
      </c>
      <c r="F348" s="1174">
        <v>3</v>
      </c>
      <c r="G348" s="1174">
        <v>1.92</v>
      </c>
      <c r="H348" s="1174">
        <v>2.04</v>
      </c>
    </row>
    <row r="349" spans="1:10" s="1163" customFormat="1" ht="13.5" customHeight="1" x14ac:dyDescent="0.25">
      <c r="A349" s="1174" t="s">
        <v>1141</v>
      </c>
      <c r="B349" s="1174">
        <v>2400</v>
      </c>
      <c r="C349" s="1174">
        <v>0.84</v>
      </c>
      <c r="D349" s="1174">
        <v>1.51</v>
      </c>
      <c r="E349" s="1174">
        <v>2</v>
      </c>
      <c r="F349" s="1174">
        <v>3</v>
      </c>
      <c r="G349" s="1174">
        <v>1.74</v>
      </c>
      <c r="H349" s="1174">
        <v>1.86</v>
      </c>
    </row>
    <row r="350" spans="1:10" s="1163" customFormat="1" ht="13.5" customHeight="1" x14ac:dyDescent="0.25">
      <c r="A350" s="1174" t="s">
        <v>1142</v>
      </c>
      <c r="B350" s="1174">
        <v>1800</v>
      </c>
      <c r="C350" s="1174">
        <v>0.84</v>
      </c>
      <c r="D350" s="1174">
        <v>0.57999999999999996</v>
      </c>
      <c r="E350" s="1174">
        <v>2</v>
      </c>
      <c r="F350" s="1174">
        <v>4</v>
      </c>
      <c r="G350" s="1174">
        <v>0.76</v>
      </c>
      <c r="H350" s="1174">
        <v>0.93</v>
      </c>
    </row>
    <row r="351" spans="1:10" s="1163" customFormat="1" ht="13.5" customHeight="1" x14ac:dyDescent="0.25">
      <c r="A351" s="1174" t="s">
        <v>1143</v>
      </c>
      <c r="B351" s="1174">
        <v>1700</v>
      </c>
      <c r="C351" s="1174">
        <v>0.84</v>
      </c>
      <c r="D351" s="1174">
        <v>0.52</v>
      </c>
      <c r="E351" s="1174">
        <v>2</v>
      </c>
      <c r="F351" s="1174">
        <v>4</v>
      </c>
      <c r="G351" s="1174">
        <v>0.7</v>
      </c>
      <c r="H351" s="1174">
        <v>0.87</v>
      </c>
    </row>
    <row r="352" spans="1:10" s="1163" customFormat="1" ht="13.5" customHeight="1" x14ac:dyDescent="0.25">
      <c r="A352" s="1174" t="s">
        <v>1144</v>
      </c>
      <c r="B352" s="1174">
        <v>1600</v>
      </c>
      <c r="C352" s="1174">
        <v>0.84</v>
      </c>
      <c r="D352" s="1174">
        <v>0.47</v>
      </c>
      <c r="E352" s="1174">
        <v>2</v>
      </c>
      <c r="F352" s="1174">
        <v>4</v>
      </c>
      <c r="G352" s="1174">
        <v>0.7</v>
      </c>
      <c r="H352" s="1174">
        <v>0.81</v>
      </c>
    </row>
    <row r="353" spans="1:8" s="1163" customFormat="1" ht="13.5" customHeight="1" x14ac:dyDescent="0.25">
      <c r="A353" s="1856" t="s">
        <v>1145</v>
      </c>
      <c r="B353" s="1856"/>
      <c r="C353" s="1856"/>
      <c r="D353" s="1856"/>
      <c r="E353" s="1856"/>
      <c r="F353" s="1856"/>
      <c r="G353" s="1856"/>
      <c r="H353" s="1856"/>
    </row>
    <row r="354" spans="1:8" s="1163" customFormat="1" ht="13.5" customHeight="1" x14ac:dyDescent="0.25">
      <c r="A354" s="1174" t="s">
        <v>1146</v>
      </c>
      <c r="B354" s="1174">
        <v>2800</v>
      </c>
      <c r="C354" s="1174">
        <v>0.88</v>
      </c>
      <c r="D354" s="1174">
        <v>3.49</v>
      </c>
      <c r="E354" s="1174">
        <v>0</v>
      </c>
      <c r="F354" s="1174">
        <v>0</v>
      </c>
      <c r="G354" s="1174">
        <v>3.49</v>
      </c>
      <c r="H354" s="1174">
        <v>3.49</v>
      </c>
    </row>
    <row r="355" spans="1:8" s="1163" customFormat="1" ht="13.5" customHeight="1" x14ac:dyDescent="0.25">
      <c r="A355" s="1174" t="s">
        <v>1147</v>
      </c>
      <c r="B355" s="1174">
        <v>2800</v>
      </c>
      <c r="C355" s="1174">
        <v>0.88</v>
      </c>
      <c r="D355" s="1174">
        <v>2.91</v>
      </c>
      <c r="E355" s="1174">
        <v>0</v>
      </c>
      <c r="F355" s="1174">
        <v>0</v>
      </c>
      <c r="G355" s="1174">
        <v>2.91</v>
      </c>
      <c r="H355" s="1174">
        <v>2.91</v>
      </c>
    </row>
    <row r="356" spans="1:8" s="1163" customFormat="1" ht="13.5" customHeight="1" x14ac:dyDescent="0.25">
      <c r="A356" s="1174" t="s">
        <v>1148</v>
      </c>
      <c r="B356" s="1174">
        <v>2000</v>
      </c>
      <c r="C356" s="1174">
        <v>0.88</v>
      </c>
      <c r="D356" s="1174">
        <v>0.93</v>
      </c>
      <c r="E356" s="1174">
        <v>2</v>
      </c>
      <c r="F356" s="1174">
        <v>3</v>
      </c>
      <c r="G356" s="1174">
        <v>1.1599999999999999</v>
      </c>
      <c r="H356" s="1174">
        <v>1.28</v>
      </c>
    </row>
    <row r="357" spans="1:8" s="1163" customFormat="1" ht="13.5" customHeight="1" x14ac:dyDescent="0.25">
      <c r="A357" s="1184" t="s">
        <v>1019</v>
      </c>
      <c r="B357" s="1174">
        <v>1800</v>
      </c>
      <c r="C357" s="1174">
        <v>0.88</v>
      </c>
      <c r="D357" s="1174">
        <v>0.7</v>
      </c>
      <c r="E357" s="1174">
        <v>2</v>
      </c>
      <c r="F357" s="1174">
        <v>3</v>
      </c>
      <c r="G357" s="1174">
        <v>0.93</v>
      </c>
      <c r="H357" s="1174">
        <v>1.05</v>
      </c>
    </row>
    <row r="358" spans="1:8" s="1163" customFormat="1" ht="13.5" customHeight="1" x14ac:dyDescent="0.25">
      <c r="A358" s="1174" t="s">
        <v>1148</v>
      </c>
      <c r="B358" s="1174">
        <v>1600</v>
      </c>
      <c r="C358" s="1174">
        <v>0.88</v>
      </c>
      <c r="D358" s="1174">
        <v>0.57999999999999996</v>
      </c>
      <c r="E358" s="1174">
        <v>2</v>
      </c>
      <c r="F358" s="1174">
        <v>3</v>
      </c>
      <c r="G358" s="1174">
        <v>0.73</v>
      </c>
      <c r="H358" s="1174">
        <v>0.81</v>
      </c>
    </row>
    <row r="359" spans="1:8" s="1163" customFormat="1" ht="13.5" customHeight="1" x14ac:dyDescent="0.25">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25">
      <c r="A360" s="1174" t="s">
        <v>1149</v>
      </c>
      <c r="B360" s="1174">
        <v>2000</v>
      </c>
      <c r="C360" s="1174">
        <v>0.88</v>
      </c>
      <c r="D360" s="1174">
        <v>0.76</v>
      </c>
      <c r="E360" s="1174">
        <v>3</v>
      </c>
      <c r="F360" s="1174">
        <v>5</v>
      </c>
      <c r="G360" s="1174">
        <v>0.93</v>
      </c>
      <c r="H360" s="1174">
        <v>1.05</v>
      </c>
    </row>
    <row r="361" spans="1:8" s="1163" customFormat="1" ht="13.5" customHeight="1" x14ac:dyDescent="0.25">
      <c r="A361" s="1184" t="s">
        <v>1019</v>
      </c>
      <c r="B361" s="1174">
        <v>1800</v>
      </c>
      <c r="C361" s="1174">
        <v>0.88</v>
      </c>
      <c r="D361" s="1174">
        <v>0.56000000000000005</v>
      </c>
      <c r="E361" s="1174">
        <v>3</v>
      </c>
      <c r="F361" s="1174">
        <v>5</v>
      </c>
      <c r="G361" s="1174">
        <v>0.7</v>
      </c>
      <c r="H361" s="1174">
        <v>0.81</v>
      </c>
    </row>
    <row r="362" spans="1:8" s="1163" customFormat="1" ht="13.5" customHeight="1" x14ac:dyDescent="0.25">
      <c r="A362" s="1184" t="s">
        <v>1019</v>
      </c>
      <c r="B362" s="1174">
        <v>1600</v>
      </c>
      <c r="C362" s="1174">
        <v>0.88</v>
      </c>
      <c r="D362" s="1174">
        <v>0.41</v>
      </c>
      <c r="E362" s="1174">
        <v>3</v>
      </c>
      <c r="F362" s="1174">
        <v>5</v>
      </c>
      <c r="G362" s="1174">
        <v>0.52</v>
      </c>
      <c r="H362" s="1174">
        <v>0.64</v>
      </c>
    </row>
    <row r="363" spans="1:8" s="1163" customFormat="1" ht="13.5" customHeight="1" x14ac:dyDescent="0.25">
      <c r="A363" s="1184" t="s">
        <v>1019</v>
      </c>
      <c r="B363" s="1174">
        <v>1400</v>
      </c>
      <c r="C363" s="1174">
        <v>0.88</v>
      </c>
      <c r="D363" s="1174">
        <v>0.33</v>
      </c>
      <c r="E363" s="1174">
        <v>3</v>
      </c>
      <c r="F363" s="1174">
        <v>5</v>
      </c>
      <c r="G363" s="1174">
        <v>0.43</v>
      </c>
      <c r="H363" s="1174">
        <v>0.52</v>
      </c>
    </row>
    <row r="364" spans="1:8" s="1163" customFormat="1" ht="13.5" customHeight="1" x14ac:dyDescent="0.25">
      <c r="A364" s="1184" t="s">
        <v>1019</v>
      </c>
      <c r="B364" s="1174">
        <v>1200</v>
      </c>
      <c r="C364" s="1174">
        <v>0.88</v>
      </c>
      <c r="D364" s="1174">
        <v>0.27</v>
      </c>
      <c r="E364" s="1174">
        <v>3</v>
      </c>
      <c r="F364" s="1174">
        <v>5</v>
      </c>
      <c r="G364" s="1174">
        <v>0.35</v>
      </c>
      <c r="H364" s="1174">
        <v>0.41</v>
      </c>
    </row>
    <row r="365" spans="1:8" s="1163" customFormat="1" ht="13.5" customHeight="1" x14ac:dyDescent="0.25">
      <c r="A365" s="1184" t="s">
        <v>1019</v>
      </c>
      <c r="B365" s="1174">
        <v>1000</v>
      </c>
      <c r="C365" s="1174">
        <v>0.88</v>
      </c>
      <c r="D365" s="1174">
        <v>0.21</v>
      </c>
      <c r="E365" s="1174">
        <v>3</v>
      </c>
      <c r="F365" s="1174">
        <v>5</v>
      </c>
      <c r="G365" s="1174">
        <v>0.24</v>
      </c>
      <c r="H365" s="1174">
        <v>0.28999999999999998</v>
      </c>
    </row>
    <row r="366" spans="1:8" s="1163" customFormat="1" ht="13.5" customHeight="1" x14ac:dyDescent="0.25">
      <c r="A366" s="1861" t="s">
        <v>1150</v>
      </c>
      <c r="B366" s="1861"/>
      <c r="C366" s="1861"/>
      <c r="D366" s="1861"/>
      <c r="E366" s="1861"/>
      <c r="F366" s="1861"/>
      <c r="G366" s="1861"/>
      <c r="H366" s="1861"/>
    </row>
    <row r="367" spans="1:8" s="1163" customFormat="1" ht="13.5" customHeight="1" x14ac:dyDescent="0.25">
      <c r="A367" s="1174" t="s">
        <v>1151</v>
      </c>
      <c r="B367" s="1174">
        <v>1800</v>
      </c>
      <c r="C367" s="1174">
        <v>0.84</v>
      </c>
      <c r="D367" s="1174">
        <v>0.35</v>
      </c>
      <c r="E367" s="1174">
        <v>2</v>
      </c>
      <c r="F367" s="1174">
        <v>3</v>
      </c>
      <c r="G367" s="1174">
        <v>0.47</v>
      </c>
      <c r="H367" s="1174">
        <v>0.52</v>
      </c>
    </row>
    <row r="368" spans="1:8" s="1163" customFormat="1" ht="13.5" customHeight="1" x14ac:dyDescent="0.25">
      <c r="A368" s="1174" t="s">
        <v>1022</v>
      </c>
      <c r="B368" s="1174">
        <v>1600</v>
      </c>
      <c r="C368" s="1174">
        <v>0.84</v>
      </c>
      <c r="D368" s="1174">
        <v>0.23</v>
      </c>
      <c r="E368" s="1174">
        <v>2</v>
      </c>
      <c r="F368" s="1174">
        <v>3</v>
      </c>
      <c r="G368" s="1174">
        <v>0.35</v>
      </c>
      <c r="H368" s="1174">
        <v>0.41</v>
      </c>
    </row>
    <row r="369" spans="1:15" ht="24" x14ac:dyDescent="0.25">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25">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25">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25">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25">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25">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25">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25">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25">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25">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25">
      <c r="A379" s="1856" t="s">
        <v>1157</v>
      </c>
      <c r="B379" s="1856"/>
      <c r="C379" s="1856"/>
      <c r="D379" s="1856"/>
      <c r="E379" s="1856"/>
      <c r="F379" s="1856"/>
      <c r="G379" s="1856"/>
      <c r="H379" s="1856"/>
      <c r="I379" s="1163"/>
      <c r="J379" s="1163"/>
      <c r="K379" s="1163"/>
      <c r="L379" s="1163"/>
      <c r="M379" s="1163"/>
      <c r="N379" s="1163"/>
      <c r="O379" s="1163"/>
    </row>
    <row r="380" spans="1:15" ht="24" x14ac:dyDescent="0.25">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25">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25">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25">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25">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25">
      <c r="A388" s="1185"/>
    </row>
    <row r="389" spans="1:5" x14ac:dyDescent="0.25">
      <c r="A389" s="1185" t="s">
        <v>1533</v>
      </c>
    </row>
    <row r="390" spans="1:5" x14ac:dyDescent="0.25">
      <c r="A390" s="1186"/>
      <c r="B390" s="108" t="s">
        <v>1524</v>
      </c>
      <c r="C390" s="108" t="s">
        <v>1525</v>
      </c>
      <c r="D390" s="108" t="s">
        <v>1526</v>
      </c>
      <c r="E390" s="108" t="s">
        <v>1527</v>
      </c>
    </row>
    <row r="391" spans="1:5" x14ac:dyDescent="0.25">
      <c r="A391" s="1186">
        <v>2000</v>
      </c>
      <c r="B391" s="108">
        <v>1.2</v>
      </c>
      <c r="C391" s="108">
        <v>1.8</v>
      </c>
      <c r="D391" s="108">
        <v>1.6</v>
      </c>
      <c r="E391" s="108">
        <v>0.35</v>
      </c>
    </row>
    <row r="392" spans="1:5" x14ac:dyDescent="0.25">
      <c r="A392" s="1186">
        <v>4000</v>
      </c>
      <c r="B392" s="108">
        <v>1.6</v>
      </c>
      <c r="C392" s="108">
        <v>2.5</v>
      </c>
      <c r="D392" s="108">
        <v>2.2000000000000002</v>
      </c>
      <c r="E392" s="108">
        <v>0.4</v>
      </c>
    </row>
    <row r="393" spans="1:5" x14ac:dyDescent="0.25">
      <c r="A393" s="1186">
        <v>6000</v>
      </c>
      <c r="B393" s="108">
        <v>2</v>
      </c>
      <c r="C393" s="108">
        <v>3.2</v>
      </c>
      <c r="D393" s="108">
        <v>2.8</v>
      </c>
      <c r="E393" s="108">
        <v>0.45</v>
      </c>
    </row>
    <row r="394" spans="1:5" x14ac:dyDescent="0.25">
      <c r="A394" s="1186">
        <v>8000</v>
      </c>
      <c r="B394" s="108">
        <v>2.4</v>
      </c>
      <c r="C394" s="108">
        <v>3.9</v>
      </c>
      <c r="D394" s="108">
        <v>3.4</v>
      </c>
      <c r="E394" s="108">
        <v>0.5</v>
      </c>
    </row>
    <row r="395" spans="1:5" x14ac:dyDescent="0.25">
      <c r="A395" s="1186">
        <v>10000</v>
      </c>
      <c r="B395" s="108">
        <v>2.8</v>
      </c>
      <c r="C395" s="108">
        <v>4.5999999999999996</v>
      </c>
      <c r="D395" s="108">
        <v>4</v>
      </c>
      <c r="E395" s="108">
        <v>0.55000000000000004</v>
      </c>
    </row>
    <row r="396" spans="1:5" x14ac:dyDescent="0.25">
      <c r="A396" s="1186">
        <v>12000</v>
      </c>
      <c r="B396" s="108">
        <v>3.2</v>
      </c>
      <c r="C396" s="108">
        <v>5.3</v>
      </c>
      <c r="D396" s="108">
        <v>4.5999999999999996</v>
      </c>
      <c r="E396" s="108">
        <v>0.6</v>
      </c>
    </row>
    <row r="397" spans="1:5" x14ac:dyDescent="0.25">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25">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25">
      <c r="A399" s="1185" t="s">
        <v>1534</v>
      </c>
    </row>
    <row r="400" spans="1:5" x14ac:dyDescent="0.25">
      <c r="A400" s="1186"/>
      <c r="B400" s="108" t="s">
        <v>1524</v>
      </c>
      <c r="C400" s="108" t="s">
        <v>1525</v>
      </c>
      <c r="D400" s="108" t="s">
        <v>1526</v>
      </c>
      <c r="E400" s="108" t="s">
        <v>1527</v>
      </c>
    </row>
    <row r="401" spans="1:5" x14ac:dyDescent="0.25">
      <c r="A401" s="1186">
        <v>2000</v>
      </c>
      <c r="B401" s="108">
        <v>2.1</v>
      </c>
      <c r="C401" s="108">
        <v>3.2</v>
      </c>
      <c r="D401" s="108">
        <v>2.8</v>
      </c>
      <c r="E401" s="108">
        <v>0.35</v>
      </c>
    </row>
    <row r="402" spans="1:5" x14ac:dyDescent="0.25">
      <c r="A402" s="1186">
        <v>4000</v>
      </c>
      <c r="B402" s="108">
        <v>2.8</v>
      </c>
      <c r="C402" s="108">
        <v>4.2</v>
      </c>
      <c r="D402" s="108">
        <v>3.7</v>
      </c>
      <c r="E402" s="108">
        <v>0.4</v>
      </c>
    </row>
    <row r="403" spans="1:5" x14ac:dyDescent="0.25">
      <c r="A403" s="1186">
        <v>6000</v>
      </c>
      <c r="B403" s="108">
        <v>3.5</v>
      </c>
      <c r="C403" s="108">
        <v>5.2</v>
      </c>
      <c r="D403" s="108">
        <v>4.5999999999999996</v>
      </c>
      <c r="E403" s="108">
        <v>0.45</v>
      </c>
    </row>
    <row r="404" spans="1:5" x14ac:dyDescent="0.25">
      <c r="A404" s="1186">
        <v>8000</v>
      </c>
      <c r="B404" s="108">
        <v>4.2</v>
      </c>
      <c r="C404" s="108">
        <v>6.2</v>
      </c>
      <c r="D404" s="108">
        <v>5.5</v>
      </c>
      <c r="E404" s="108">
        <v>0.5</v>
      </c>
    </row>
    <row r="405" spans="1:5" x14ac:dyDescent="0.25">
      <c r="A405" s="1186">
        <v>10000</v>
      </c>
      <c r="B405" s="108">
        <v>4.9000000000000004</v>
      </c>
      <c r="C405" s="108">
        <v>7.2</v>
      </c>
      <c r="D405" s="108">
        <v>6.4</v>
      </c>
      <c r="E405" s="108">
        <v>0.55000000000000004</v>
      </c>
    </row>
    <row r="406" spans="1:5" x14ac:dyDescent="0.25">
      <c r="A406" s="1186">
        <v>12000</v>
      </c>
      <c r="B406" s="108">
        <v>5.6</v>
      </c>
      <c r="C406" s="108">
        <v>8.1999999999999993</v>
      </c>
      <c r="D406" s="108">
        <v>7.3</v>
      </c>
      <c r="E406" s="108">
        <v>0.6</v>
      </c>
    </row>
    <row r="407" spans="1:5" x14ac:dyDescent="0.25">
      <c r="B407" s="88">
        <f>SLOPE(B401:B406,$A$401:$A$406)</f>
        <v>3.5E-4</v>
      </c>
      <c r="C407" s="88">
        <f t="shared" ref="C407:E407" si="12">SLOPE(C401:C406,$A$401:$A$406)</f>
        <v>5.0000000000000001E-4</v>
      </c>
      <c r="D407" s="88">
        <f t="shared" si="12"/>
        <v>4.4999999999999999E-4</v>
      </c>
      <c r="E407" s="88">
        <f t="shared" si="12"/>
        <v>2.5000000000000001E-5</v>
      </c>
    </row>
    <row r="408" spans="1:5" x14ac:dyDescent="0.25">
      <c r="B408" s="88">
        <f>INTERCEPT(B401:B406,$A$401:$A$406)</f>
        <v>1.4</v>
      </c>
      <c r="C408" s="88">
        <f t="shared" ref="C408:E408" si="13">INTERCEPT(C401:C406,$A$401:$A$406)</f>
        <v>2.2000000000000002</v>
      </c>
      <c r="D408" s="88">
        <f t="shared" si="13"/>
        <v>1.9</v>
      </c>
      <c r="E408" s="88">
        <f t="shared" si="13"/>
        <v>0.30000000000000004</v>
      </c>
    </row>
    <row r="409" spans="1:5" x14ac:dyDescent="0.25">
      <c r="A409" s="114" t="s">
        <v>1528</v>
      </c>
    </row>
    <row r="410" spans="1:5" x14ac:dyDescent="0.25">
      <c r="A410" s="108"/>
      <c r="B410" s="108" t="s">
        <v>1531</v>
      </c>
      <c r="C410" s="108" t="s">
        <v>1532</v>
      </c>
    </row>
    <row r="411" spans="1:5" x14ac:dyDescent="0.25">
      <c r="A411" s="108" t="s">
        <v>514</v>
      </c>
      <c r="B411" s="298" t="e">
        <f>B398+B397*Климатология!$I$2</f>
        <v>#N/A</v>
      </c>
      <c r="C411" s="298" t="e">
        <f>B408+B407*Климатология!$I$2</f>
        <v>#N/A</v>
      </c>
    </row>
    <row r="412" spans="1:5" x14ac:dyDescent="0.25">
      <c r="A412" s="108" t="s">
        <v>1525</v>
      </c>
      <c r="B412" s="298" t="e">
        <f>C398+C397*Климатология!$I$2</f>
        <v>#N/A</v>
      </c>
      <c r="C412" s="298" t="e">
        <f>C408+C407*Климатология!$I$2</f>
        <v>#N/A</v>
      </c>
    </row>
    <row r="413" spans="1:5" x14ac:dyDescent="0.25">
      <c r="A413" s="108" t="s">
        <v>1526</v>
      </c>
      <c r="B413" s="298" t="e">
        <f>D398+D397*Климатология!$I$2</f>
        <v>#N/A</v>
      </c>
      <c r="C413" s="298" t="e">
        <f>D408+D407*Климатология!$I$2</f>
        <v>#N/A</v>
      </c>
    </row>
    <row r="414" spans="1:5" x14ac:dyDescent="0.25">
      <c r="A414" s="108" t="s">
        <v>1527</v>
      </c>
      <c r="B414" s="298" t="e">
        <f>E398+E397*Климатология!$I$2</f>
        <v>#N/A</v>
      </c>
      <c r="C414" s="298" t="e">
        <f>E408+E407*Климатология!$I$2</f>
        <v>#N/A</v>
      </c>
    </row>
  </sheetData>
  <sheetProtection password="ECB1" sheet="1" objects="1" scenarios="1"/>
  <mergeCells count="53">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 ref="A236:H236"/>
    <mergeCell ref="A244:H244"/>
    <mergeCell ref="A245:H245"/>
    <mergeCell ref="A260:H260"/>
    <mergeCell ref="A307:H307"/>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96:A100"/>
    <mergeCell ref="B96:D96"/>
    <mergeCell ref="E96:H96"/>
    <mergeCell ref="C97:C100"/>
    <mergeCell ref="E97:F97"/>
    <mergeCell ref="E98:F98"/>
    <mergeCell ref="E99:F99"/>
    <mergeCell ref="G97:H99"/>
    <mergeCell ref="A1:U1"/>
    <mergeCell ref="A92:C92"/>
    <mergeCell ref="A73:C73"/>
    <mergeCell ref="A78:C78"/>
    <mergeCell ref="A89:C89"/>
    <mergeCell ref="A90:C90"/>
    <mergeCell ref="A91:C91"/>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RowHeight="15" x14ac:dyDescent="0.25"/>
  <cols>
    <col min="1" max="1" width="95.7109375" style="88" customWidth="1"/>
    <col min="2" max="2" width="35.28515625" style="88" customWidth="1"/>
    <col min="3" max="4" width="10.140625" style="88" customWidth="1"/>
    <col min="5" max="5" width="24.5703125" style="88" customWidth="1"/>
    <col min="6" max="16384" width="9.140625" style="88"/>
  </cols>
  <sheetData>
    <row r="1" spans="1:60" ht="62.25" customHeight="1" x14ac:dyDescent="0.45">
      <c r="A1" s="1758" t="s">
        <v>1475</v>
      </c>
      <c r="B1" s="1758"/>
      <c r="C1" s="1758"/>
      <c r="D1" s="1758"/>
      <c r="E1" s="1758"/>
      <c r="F1" s="1758"/>
      <c r="G1" s="1758"/>
      <c r="H1" s="1758"/>
      <c r="I1" s="1758"/>
      <c r="J1" s="1758"/>
      <c r="K1" s="1758"/>
      <c r="L1" s="1758"/>
      <c r="M1" s="1758"/>
      <c r="N1" s="1758"/>
      <c r="O1" s="1758"/>
      <c r="P1" s="1758"/>
      <c r="Q1" s="1758"/>
      <c r="R1" s="1758"/>
      <c r="S1" s="1758"/>
      <c r="T1" s="1758"/>
      <c r="U1" s="1758"/>
      <c r="V1" s="1758"/>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25">
      <c r="E2" s="89"/>
      <c r="F2" s="1866" t="s">
        <v>897</v>
      </c>
      <c r="G2" s="1867"/>
      <c r="H2" s="1866" t="s">
        <v>898</v>
      </c>
      <c r="I2" s="1867"/>
    </row>
    <row r="3" spans="1:60" ht="38.25" x14ac:dyDescent="0.25">
      <c r="A3" s="90" t="s">
        <v>765</v>
      </c>
      <c r="B3" s="91" t="s">
        <v>767</v>
      </c>
      <c r="E3" s="89"/>
      <c r="F3" s="92">
        <v>1</v>
      </c>
      <c r="G3" s="92"/>
      <c r="H3" s="92"/>
      <c r="I3" s="93"/>
    </row>
    <row r="4" spans="1:60" ht="25.5" x14ac:dyDescent="0.25">
      <c r="A4" s="94" t="s">
        <v>768</v>
      </c>
      <c r="B4" s="95">
        <f>0.5</f>
        <v>0.5</v>
      </c>
      <c r="C4" s="88">
        <f>IF(AND($F$9=1,$F$11=0,$F$7=1),1,0)</f>
        <v>0</v>
      </c>
      <c r="D4" s="88">
        <f>IF(AND($H$9=1,$H$11=0,$H$7=1),1,0)</f>
        <v>0</v>
      </c>
      <c r="E4" s="89" t="s">
        <v>799</v>
      </c>
      <c r="F4" s="92">
        <f>IF($F$3=1,1,0)</f>
        <v>1</v>
      </c>
      <c r="G4" s="92"/>
      <c r="H4" s="92">
        <f>IF(OR(F4=0,H5=1,H6=1),0,1)</f>
        <v>0</v>
      </c>
      <c r="I4" s="93"/>
    </row>
    <row r="5" spans="1:60" ht="25.5" x14ac:dyDescent="0.25">
      <c r="A5" s="94" t="s">
        <v>769</v>
      </c>
      <c r="B5" s="95">
        <f>0.5</f>
        <v>0.5</v>
      </c>
      <c r="C5" s="88">
        <f>IF(AND($F$10=1,$F$11=0,$F$7=1),1,0)</f>
        <v>0</v>
      </c>
      <c r="D5" s="88">
        <f>IF(AND($H$10=1,$H$11=0,$H$7=1),1,0)</f>
        <v>0</v>
      </c>
      <c r="E5" s="89" t="s">
        <v>800</v>
      </c>
      <c r="F5" s="92">
        <f>IF($F$3=2,1,0)</f>
        <v>0</v>
      </c>
      <c r="G5" s="92"/>
      <c r="H5" s="92">
        <f>IF(OR(F5=1,'Список мероприятий'!D33=списки!N45),1,0)</f>
        <v>1</v>
      </c>
      <c r="I5" s="93"/>
    </row>
    <row r="6" spans="1:60" ht="30" customHeight="1" x14ac:dyDescent="0.25">
      <c r="A6" s="94" t="s">
        <v>770</v>
      </c>
      <c r="B6" s="95">
        <f>0.85</f>
        <v>0.85</v>
      </c>
      <c r="C6" s="88">
        <f>IF(AND($F$9=1,$F$11=1,$F$7=1),1,0)</f>
        <v>0</v>
      </c>
      <c r="D6" s="88">
        <f>IF(AND($H$9=1,$H$11=1,$H$7=1),1,0)</f>
        <v>0</v>
      </c>
      <c r="E6" s="89" t="s">
        <v>801</v>
      </c>
      <c r="F6" s="92">
        <f>IF($F$3=3,1,0)</f>
        <v>0</v>
      </c>
      <c r="G6" s="92"/>
      <c r="H6" s="92">
        <f>IF(OR(F6=1,'Список мероприятий'!D33=списки!N46),1,0)</f>
        <v>0</v>
      </c>
      <c r="I6" s="93"/>
    </row>
    <row r="7" spans="1:60" ht="29.45" customHeight="1" x14ac:dyDescent="0.25">
      <c r="A7" s="94" t="s">
        <v>771</v>
      </c>
      <c r="B7" s="95">
        <f>0.9</f>
        <v>0.9</v>
      </c>
      <c r="C7" s="88">
        <f>IF(AND($F$10=1,$F$11=1,$F$7=1),1,0)</f>
        <v>0</v>
      </c>
      <c r="D7" s="88">
        <f>IF(AND($H$10=1,$H$11=1,$H$7=1),1,0)</f>
        <v>0</v>
      </c>
      <c r="E7" s="89" t="s">
        <v>803</v>
      </c>
      <c r="F7" s="92">
        <f>IF($F$3=4,1,0)</f>
        <v>0</v>
      </c>
      <c r="G7" s="92"/>
      <c r="H7" s="92">
        <f>IF(AND(H5=0,H6=0,H4=0),1,0)</f>
        <v>0</v>
      </c>
      <c r="I7" s="93"/>
    </row>
    <row r="8" spans="1:60" ht="18" customHeight="1" x14ac:dyDescent="0.25">
      <c r="A8" s="94" t="s">
        <v>772</v>
      </c>
      <c r="B8" s="95">
        <f>0.5</f>
        <v>0.5</v>
      </c>
      <c r="C8" s="88">
        <f>IF(AND($F$9=1,$F$11=0,$F$4=1),1,0)</f>
        <v>1</v>
      </c>
      <c r="D8" s="88">
        <f>IF(AND($H$9=1,$H$11=0,$H$4=1),1,0)</f>
        <v>0</v>
      </c>
      <c r="E8" s="96" t="s">
        <v>739</v>
      </c>
      <c r="F8" s="92">
        <v>1</v>
      </c>
      <c r="G8" s="92"/>
      <c r="H8" s="92"/>
      <c r="I8" s="93"/>
    </row>
    <row r="9" spans="1:60" ht="23.45" customHeight="1" x14ac:dyDescent="0.25">
      <c r="A9" s="94" t="s">
        <v>773</v>
      </c>
      <c r="B9" s="95">
        <f>0.5</f>
        <v>0.5</v>
      </c>
      <c r="C9" s="88">
        <f>IF(AND($F$10=1,$F$11=0,$F$4=1),1,0)</f>
        <v>0</v>
      </c>
      <c r="D9" s="88">
        <f>IF(AND($H$10=1,$H$11=0,$H$4=1),1,0)</f>
        <v>0</v>
      </c>
      <c r="E9" s="96" t="s">
        <v>737</v>
      </c>
      <c r="F9" s="92">
        <f>IF(F8=1,1,0)</f>
        <v>1</v>
      </c>
      <c r="G9" s="92"/>
      <c r="H9" s="92">
        <f>F9</f>
        <v>1</v>
      </c>
      <c r="I9" s="93"/>
    </row>
    <row r="10" spans="1:60" ht="21" customHeight="1" x14ac:dyDescent="0.25">
      <c r="A10" s="94" t="s">
        <v>774</v>
      </c>
      <c r="B10" s="95">
        <f>0.85</f>
        <v>0.85</v>
      </c>
      <c r="C10" s="88">
        <f>IF(AND($F$9=1,$F$11=1,$F$4=1),1,0)</f>
        <v>0</v>
      </c>
      <c r="D10" s="88">
        <f>IF(AND($H$9=1,$H$11=1,$H$4=1),1,0)</f>
        <v>0</v>
      </c>
      <c r="E10" s="96" t="s">
        <v>738</v>
      </c>
      <c r="F10" s="92">
        <f>IF(F8=2,1,0)</f>
        <v>0</v>
      </c>
      <c r="G10" s="92"/>
      <c r="H10" s="92">
        <f>F10</f>
        <v>0</v>
      </c>
      <c r="I10" s="93"/>
    </row>
    <row r="11" spans="1:60" ht="26.45" customHeight="1" x14ac:dyDescent="0.25">
      <c r="A11" s="94" t="s">
        <v>775</v>
      </c>
      <c r="B11" s="95">
        <f>0.9</f>
        <v>0.9</v>
      </c>
      <c r="C11" s="88">
        <f>IF(AND($F$10=1,$F$11=1,$F$4=1),1,0)</f>
        <v>0</v>
      </c>
      <c r="D11" s="88">
        <f>IF(AND($H$10=1,$H$11=1,$H$4=1),1,0)</f>
        <v>0</v>
      </c>
      <c r="E11" s="93" t="s">
        <v>802</v>
      </c>
      <c r="F11" s="92">
        <f>IF(G11=TRUE,1,0)</f>
        <v>0</v>
      </c>
      <c r="G11" s="92" t="b">
        <v>0</v>
      </c>
      <c r="H11" s="92">
        <f>F11</f>
        <v>0</v>
      </c>
      <c r="I11" s="93"/>
    </row>
    <row r="12" spans="1:60" ht="29.45" customHeight="1" x14ac:dyDescent="0.25">
      <c r="A12" s="94" t="s">
        <v>776</v>
      </c>
      <c r="B12" s="95">
        <f>0.7</f>
        <v>0.7</v>
      </c>
      <c r="C12" s="88">
        <f>IF(AND($F$9=1,$F$11=0,$F$5=1),1,0)</f>
        <v>0</v>
      </c>
      <c r="D12" s="88">
        <f>IF(AND($H$9=1,$H$11=0,$H$5=1),1,0)</f>
        <v>1</v>
      </c>
      <c r="E12" s="97"/>
    </row>
    <row r="13" spans="1:60" ht="29.45" customHeight="1" x14ac:dyDescent="0.25">
      <c r="A13" s="94" t="s">
        <v>777</v>
      </c>
      <c r="B13" s="95">
        <f>0.7</f>
        <v>0.7</v>
      </c>
      <c r="C13" s="88">
        <f>IF(AND($F$10=1,$F$11=0,$F$5=1),1,0)</f>
        <v>0</v>
      </c>
      <c r="D13" s="88">
        <f>IF(AND($H$10=1,$H$11=0,$H$5=1),1,0)</f>
        <v>0</v>
      </c>
      <c r="E13" s="97"/>
    </row>
    <row r="14" spans="1:60" ht="32.450000000000003" customHeight="1" x14ac:dyDescent="0.25">
      <c r="A14" s="94" t="s">
        <v>778</v>
      </c>
      <c r="B14" s="95">
        <f>0.9</f>
        <v>0.9</v>
      </c>
      <c r="C14" s="88">
        <f>IF(AND($F$9=1,$F$11=1,$F$5=1),1,0)</f>
        <v>0</v>
      </c>
      <c r="D14" s="88">
        <f>IF(AND($H$9=1,$H$11=1,$H$5=1),1,0)</f>
        <v>0</v>
      </c>
      <c r="E14" s="97"/>
    </row>
    <row r="15" spans="1:60" ht="29.45" customHeight="1" x14ac:dyDescent="0.25">
      <c r="A15" s="94" t="s">
        <v>779</v>
      </c>
      <c r="B15" s="95">
        <f>0.95</f>
        <v>0.95</v>
      </c>
      <c r="C15" s="88">
        <f>IF(AND($F$10=1,$F$11=1,$F$5=1),1,0)</f>
        <v>0</v>
      </c>
      <c r="D15" s="88">
        <f>IF(AND($H$10=1,$H$11=1,$H$5=1),1,0)</f>
        <v>0</v>
      </c>
      <c r="E15" s="97"/>
    </row>
    <row r="16" spans="1:60" ht="29.45" customHeight="1" x14ac:dyDescent="0.25">
      <c r="A16" s="94" t="s">
        <v>780</v>
      </c>
      <c r="B16" s="95">
        <f>0.7</f>
        <v>0.7</v>
      </c>
      <c r="C16" s="88">
        <f>IF(AND($F$9=1,$F$11=0,$F$6=1),1,0)</f>
        <v>0</v>
      </c>
      <c r="D16" s="88">
        <f>IF(AND($H$9=1,$H$11=0,$H$6=1),1,0)</f>
        <v>0</v>
      </c>
      <c r="E16" s="97"/>
    </row>
    <row r="17" spans="1:5" ht="29.45" customHeight="1" x14ac:dyDescent="0.25">
      <c r="A17" s="94" t="s">
        <v>781</v>
      </c>
      <c r="B17" s="95">
        <f>0.7</f>
        <v>0.7</v>
      </c>
      <c r="C17" s="88">
        <f>IF(AND($F$10=1,$F$11=0,$F$6=1),1,0)</f>
        <v>0</v>
      </c>
      <c r="D17" s="88">
        <f>IF(AND($H$10=1,$H$11=0,$H$6=1),1,0)</f>
        <v>0</v>
      </c>
      <c r="E17" s="97"/>
    </row>
    <row r="18" spans="1:5" ht="29.45" customHeight="1" x14ac:dyDescent="0.25">
      <c r="A18" s="94" t="s">
        <v>782</v>
      </c>
      <c r="B18" s="95">
        <f>0.9</f>
        <v>0.9</v>
      </c>
      <c r="C18" s="88">
        <f>IF(AND($F$9=1,$F$11=1,$F$6=1),1,0)</f>
        <v>0</v>
      </c>
      <c r="D18" s="88">
        <f>IF(AND($H$9=1,$H$11=1,$H$6=1),1,0)</f>
        <v>0</v>
      </c>
      <c r="E18" s="97"/>
    </row>
    <row r="19" spans="1:5" ht="27.95" customHeight="1" x14ac:dyDescent="0.25">
      <c r="A19" s="94" t="s">
        <v>783</v>
      </c>
      <c r="B19" s="95">
        <f>0.95</f>
        <v>0.95</v>
      </c>
      <c r="C19" s="88">
        <f>IF(AND($F$10=1,$F$11=1,$F$6=1),1,0)</f>
        <v>0</v>
      </c>
      <c r="D19" s="88">
        <f>IF(AND($H$10=1,$H$11=1,$H$6=1),1,0)</f>
        <v>0</v>
      </c>
      <c r="E19" s="97"/>
    </row>
    <row r="20" spans="1:5" ht="27.95" customHeight="1" x14ac:dyDescent="0.25">
      <c r="A20" s="98"/>
      <c r="B20" s="99"/>
      <c r="E20" s="97"/>
    </row>
    <row r="21" spans="1:5" ht="27.95" customHeight="1" x14ac:dyDescent="0.25">
      <c r="A21" s="100"/>
      <c r="B21" s="101"/>
      <c r="E21" s="97"/>
    </row>
    <row r="22" spans="1:5" ht="105" customHeight="1" x14ac:dyDescent="0.25">
      <c r="A22" s="90" t="s">
        <v>1476</v>
      </c>
      <c r="B22" s="102" t="s">
        <v>1477</v>
      </c>
      <c r="C22" s="88" t="s">
        <v>899</v>
      </c>
      <c r="E22" s="97" t="s">
        <v>900</v>
      </c>
    </row>
    <row r="23" spans="1:5" ht="27.95" customHeight="1" x14ac:dyDescent="0.25">
      <c r="A23" s="94" t="s">
        <v>1478</v>
      </c>
      <c r="B23" s="95">
        <f>1.13</f>
        <v>1.1299999999999999</v>
      </c>
      <c r="C23" s="88">
        <f>IF(AND(списки!D31=0,списки!D33=0,'Ввод исходных данных'!D16&gt;4),1,0)</f>
        <v>0</v>
      </c>
      <c r="E23" s="97">
        <f>IF(AND(списки!D31=0,списки!D33=0,'Ввод исходных данных'!D16&gt;4),1,0)</f>
        <v>0</v>
      </c>
    </row>
    <row r="24" spans="1:5" ht="27.95" customHeight="1" x14ac:dyDescent="0.25">
      <c r="A24" s="94" t="s">
        <v>1479</v>
      </c>
      <c r="B24" s="95">
        <f>1.11</f>
        <v>1.1100000000000001</v>
      </c>
      <c r="C24" s="88">
        <f>IF(AND(списки!D33=0,'Ввод исходных данных'!D18&gt;=9,'Ввод исходных данных'!D16=1),1,0)</f>
        <v>0</v>
      </c>
      <c r="E24" s="97"/>
    </row>
    <row r="25" spans="1:5" ht="27.95" customHeight="1" x14ac:dyDescent="0.25">
      <c r="A25" s="94" t="s">
        <v>1646</v>
      </c>
      <c r="B25" s="95">
        <v>1.0900000000000001</v>
      </c>
      <c r="C25" s="88">
        <f>IF(AND(списки!D31=0,списки!D33=0,'Ввод исходных данных'!D18&lt;9,'Ввод исходных данных'!D16&lt;=4),1,0)</f>
        <v>0</v>
      </c>
      <c r="E25" s="97"/>
    </row>
    <row r="26" spans="1:5" ht="27.95" customHeight="1" x14ac:dyDescent="0.25">
      <c r="A26" s="94" t="s">
        <v>1647</v>
      </c>
      <c r="B26" s="95">
        <f>1.07</f>
        <v>1.07</v>
      </c>
      <c r="C26" s="88">
        <f>IF(списки!D33=1,1,0)</f>
        <v>1</v>
      </c>
      <c r="E26" s="97"/>
    </row>
    <row r="27" spans="1:5" ht="27.95" customHeight="1" x14ac:dyDescent="0.25">
      <c r="A27" s="94" t="s">
        <v>1648</v>
      </c>
      <c r="B27" s="95">
        <f>1.05</f>
        <v>1.05</v>
      </c>
      <c r="C27" s="88">
        <f>IF(списки!D31+списки!D33=2,1,0)</f>
        <v>0</v>
      </c>
      <c r="E27" s="97"/>
    </row>
    <row r="28" spans="1:5" x14ac:dyDescent="0.25">
      <c r="B28" s="88">
        <v>1.0900000000000001</v>
      </c>
      <c r="C28" s="88">
        <f>IF(SUM(C23:C27)=0,1,0)</f>
        <v>0</v>
      </c>
      <c r="E28" s="97"/>
    </row>
    <row r="29" spans="1:5" x14ac:dyDescent="0.25">
      <c r="E29" s="97"/>
    </row>
    <row r="30" spans="1:5" x14ac:dyDescent="0.25">
      <c r="E30" s="97"/>
    </row>
    <row r="31" spans="1:5" x14ac:dyDescent="0.25">
      <c r="E31" s="97"/>
    </row>
    <row r="32" spans="1:5" x14ac:dyDescent="0.25">
      <c r="E32" s="97"/>
    </row>
    <row r="33" spans="5:5" x14ac:dyDescent="0.25">
      <c r="E33" s="97"/>
    </row>
    <row r="34" spans="5:5" x14ac:dyDescent="0.25">
      <c r="E34" s="97"/>
    </row>
    <row r="35" spans="5:5" x14ac:dyDescent="0.25">
      <c r="E35" s="97"/>
    </row>
    <row r="36" spans="5:5" x14ac:dyDescent="0.25">
      <c r="E36" s="97"/>
    </row>
    <row r="37" spans="5:5" x14ac:dyDescent="0.25">
      <c r="E37" s="97"/>
    </row>
    <row r="38" spans="5:5" x14ac:dyDescent="0.25">
      <c r="E38" s="97"/>
    </row>
    <row r="39" spans="5:5" x14ac:dyDescent="0.25">
      <c r="E39" s="97"/>
    </row>
    <row r="40" spans="5:5" x14ac:dyDescent="0.25">
      <c r="E40" s="97"/>
    </row>
    <row r="41" spans="5:5" x14ac:dyDescent="0.25">
      <c r="E41" s="97"/>
    </row>
    <row r="42" spans="5:5" x14ac:dyDescent="0.25">
      <c r="E42" s="97"/>
    </row>
    <row r="43" spans="5:5" x14ac:dyDescent="0.25">
      <c r="E43" s="97"/>
    </row>
    <row r="44" spans="5:5" x14ac:dyDescent="0.25">
      <c r="E44" s="97"/>
    </row>
    <row r="45" spans="5:5" x14ac:dyDescent="0.25">
      <c r="E45" s="97"/>
    </row>
    <row r="46" spans="5:5" x14ac:dyDescent="0.25">
      <c r="E46" s="97"/>
    </row>
    <row r="47" spans="5:5" x14ac:dyDescent="0.25">
      <c r="E47" s="97"/>
    </row>
    <row r="48" spans="5:5" x14ac:dyDescent="0.25">
      <c r="E48" s="97"/>
    </row>
    <row r="49" spans="5:5" x14ac:dyDescent="0.25">
      <c r="E49" s="97"/>
    </row>
    <row r="50" spans="5:5" x14ac:dyDescent="0.25">
      <c r="E50" s="97"/>
    </row>
    <row r="51" spans="5:5" x14ac:dyDescent="0.25">
      <c r="E51" s="97"/>
    </row>
    <row r="52" spans="5:5" x14ac:dyDescent="0.25">
      <c r="E52" s="97"/>
    </row>
    <row r="53" spans="5:5" x14ac:dyDescent="0.25">
      <c r="E53" s="97"/>
    </row>
    <row r="54" spans="5:5" x14ac:dyDescent="0.25">
      <c r="E54" s="97"/>
    </row>
    <row r="55" spans="5:5" x14ac:dyDescent="0.25">
      <c r="E55" s="97"/>
    </row>
    <row r="56" spans="5:5" x14ac:dyDescent="0.25">
      <c r="E56" s="97"/>
    </row>
    <row r="57" spans="5:5" x14ac:dyDescent="0.25">
      <c r="E57" s="97"/>
    </row>
    <row r="58" spans="5:5" x14ac:dyDescent="0.25">
      <c r="E58" s="97"/>
    </row>
    <row r="59" spans="5:5" x14ac:dyDescent="0.25">
      <c r="E59" s="97"/>
    </row>
    <row r="60" spans="5:5" x14ac:dyDescent="0.25">
      <c r="E60" s="97"/>
    </row>
    <row r="61" spans="5:5" x14ac:dyDescent="0.25">
      <c r="E61" s="97"/>
    </row>
    <row r="62" spans="5:5" x14ac:dyDescent="0.25">
      <c r="E62" s="97"/>
    </row>
    <row r="63" spans="5:5" x14ac:dyDescent="0.25">
      <c r="E63" s="97"/>
    </row>
    <row r="64" spans="5:5" x14ac:dyDescent="0.25">
      <c r="E64" s="97"/>
    </row>
    <row r="65" spans="5:5" x14ac:dyDescent="0.25">
      <c r="E65" s="97"/>
    </row>
    <row r="66" spans="5:5" x14ac:dyDescent="0.25">
      <c r="E66" s="97"/>
    </row>
    <row r="67" spans="5:5" x14ac:dyDescent="0.25">
      <c r="E67" s="97"/>
    </row>
    <row r="68" spans="5:5" x14ac:dyDescent="0.25">
      <c r="E68" s="97"/>
    </row>
    <row r="69" spans="5:5" x14ac:dyDescent="0.25">
      <c r="E69" s="97"/>
    </row>
    <row r="70" spans="5:5" x14ac:dyDescent="0.25">
      <c r="E70" s="97"/>
    </row>
    <row r="71" spans="5:5" x14ac:dyDescent="0.25">
      <c r="E71" s="97"/>
    </row>
    <row r="72" spans="5:5" x14ac:dyDescent="0.25">
      <c r="E72" s="97"/>
    </row>
    <row r="73" spans="5:5" x14ac:dyDescent="0.25">
      <c r="E73" s="97"/>
    </row>
    <row r="74" spans="5:5" x14ac:dyDescent="0.25">
      <c r="E74" s="97"/>
    </row>
    <row r="75" spans="5:5" x14ac:dyDescent="0.25">
      <c r="E75" s="97"/>
    </row>
    <row r="76" spans="5:5" x14ac:dyDescent="0.25">
      <c r="E76" s="97"/>
    </row>
    <row r="77" spans="5:5" x14ac:dyDescent="0.25">
      <c r="E77" s="97"/>
    </row>
    <row r="78" spans="5:5" x14ac:dyDescent="0.25">
      <c r="E78" s="97"/>
    </row>
    <row r="79" spans="5:5" x14ac:dyDescent="0.25">
      <c r="E79" s="97"/>
    </row>
    <row r="80" spans="5:5" x14ac:dyDescent="0.25">
      <c r="E80" s="97"/>
    </row>
    <row r="81" spans="5:5" x14ac:dyDescent="0.25">
      <c r="E81" s="97"/>
    </row>
    <row r="82" spans="5:5" x14ac:dyDescent="0.25">
      <c r="E82" s="97"/>
    </row>
    <row r="83" spans="5:5" x14ac:dyDescent="0.25">
      <c r="E83" s="97"/>
    </row>
    <row r="84" spans="5:5" x14ac:dyDescent="0.25">
      <c r="E84" s="97"/>
    </row>
    <row r="85" spans="5:5" x14ac:dyDescent="0.25">
      <c r="E85" s="97"/>
    </row>
    <row r="86" spans="5:5" x14ac:dyDescent="0.25">
      <c r="E86" s="97"/>
    </row>
    <row r="87" spans="5:5" x14ac:dyDescent="0.25">
      <c r="E87" s="97"/>
    </row>
    <row r="88" spans="5:5" x14ac:dyDescent="0.25">
      <c r="E88" s="97"/>
    </row>
    <row r="89" spans="5:5" x14ac:dyDescent="0.25">
      <c r="E89" s="97"/>
    </row>
    <row r="90" spans="5:5" x14ac:dyDescent="0.25">
      <c r="E90" s="97"/>
    </row>
    <row r="91" spans="5:5" x14ac:dyDescent="0.25">
      <c r="E91" s="97"/>
    </row>
    <row r="92" spans="5:5" x14ac:dyDescent="0.25">
      <c r="E92" s="97"/>
    </row>
    <row r="93" spans="5:5" x14ac:dyDescent="0.25">
      <c r="E93" s="97"/>
    </row>
    <row r="94" spans="5:5" x14ac:dyDescent="0.25">
      <c r="E94" s="97"/>
    </row>
    <row r="95" spans="5:5" x14ac:dyDescent="0.25">
      <c r="E95" s="97"/>
    </row>
    <row r="96" spans="5:5" x14ac:dyDescent="0.25">
      <c r="E96" s="97"/>
    </row>
    <row r="97" spans="5:5" x14ac:dyDescent="0.25">
      <c r="E97" s="97"/>
    </row>
    <row r="98" spans="5:5" x14ac:dyDescent="0.25">
      <c r="E98" s="97"/>
    </row>
    <row r="99" spans="5:5" x14ac:dyDescent="0.25">
      <c r="E99" s="97"/>
    </row>
    <row r="100" spans="5:5" x14ac:dyDescent="0.25">
      <c r="E100" s="97"/>
    </row>
    <row r="101" spans="5:5" x14ac:dyDescent="0.25">
      <c r="E101" s="97"/>
    </row>
    <row r="102" spans="5:5" x14ac:dyDescent="0.25">
      <c r="E102" s="97"/>
    </row>
    <row r="103" spans="5:5" x14ac:dyDescent="0.25">
      <c r="E103" s="97"/>
    </row>
    <row r="104" spans="5:5" x14ac:dyDescent="0.25">
      <c r="E104" s="97"/>
    </row>
    <row r="105" spans="5:5" x14ac:dyDescent="0.25">
      <c r="E105" s="97"/>
    </row>
    <row r="106" spans="5:5" x14ac:dyDescent="0.25">
      <c r="E106" s="97"/>
    </row>
    <row r="107" spans="5:5" x14ac:dyDescent="0.25">
      <c r="E107" s="97"/>
    </row>
    <row r="108" spans="5:5" x14ac:dyDescent="0.25">
      <c r="E108" s="97"/>
    </row>
    <row r="109" spans="5:5" x14ac:dyDescent="0.25">
      <c r="E109" s="97"/>
    </row>
    <row r="110" spans="5:5" x14ac:dyDescent="0.25">
      <c r="E110" s="97"/>
    </row>
    <row r="111" spans="5:5" x14ac:dyDescent="0.25">
      <c r="E111" s="97"/>
    </row>
    <row r="112" spans="5:5" x14ac:dyDescent="0.25">
      <c r="E112" s="97"/>
    </row>
    <row r="113" spans="5:5" x14ac:dyDescent="0.25">
      <c r="E113" s="97"/>
    </row>
    <row r="114" spans="5:5" x14ac:dyDescent="0.25">
      <c r="E114" s="97"/>
    </row>
    <row r="115" spans="5:5" x14ac:dyDescent="0.25">
      <c r="E115" s="97"/>
    </row>
    <row r="116" spans="5:5" x14ac:dyDescent="0.25">
      <c r="E116" s="97"/>
    </row>
    <row r="117" spans="5:5" x14ac:dyDescent="0.25">
      <c r="E117" s="97"/>
    </row>
    <row r="118" spans="5:5" x14ac:dyDescent="0.25">
      <c r="E118" s="97"/>
    </row>
    <row r="119" spans="5:5" x14ac:dyDescent="0.25">
      <c r="E119" s="97"/>
    </row>
    <row r="120" spans="5:5" x14ac:dyDescent="0.25">
      <c r="E120" s="97"/>
    </row>
    <row r="121" spans="5:5" x14ac:dyDescent="0.25">
      <c r="E121" s="97"/>
    </row>
    <row r="122" spans="5:5" x14ac:dyDescent="0.25">
      <c r="E122" s="97"/>
    </row>
    <row r="123" spans="5:5" x14ac:dyDescent="0.25">
      <c r="E123" s="97"/>
    </row>
    <row r="124" spans="5:5" x14ac:dyDescent="0.25">
      <c r="E124" s="97"/>
    </row>
    <row r="125" spans="5:5" x14ac:dyDescent="0.25">
      <c r="E125" s="97"/>
    </row>
    <row r="126" spans="5:5" x14ac:dyDescent="0.25">
      <c r="E126" s="97"/>
    </row>
    <row r="127" spans="5:5" x14ac:dyDescent="0.25">
      <c r="E127" s="97"/>
    </row>
    <row r="128" spans="5:5" x14ac:dyDescent="0.25">
      <c r="E128" s="97"/>
    </row>
    <row r="129" spans="5:5" x14ac:dyDescent="0.25">
      <c r="E129" s="97"/>
    </row>
    <row r="130" spans="5:5" x14ac:dyDescent="0.25">
      <c r="E130" s="97"/>
    </row>
    <row r="131" spans="5:5" x14ac:dyDescent="0.25">
      <c r="E131" s="97"/>
    </row>
    <row r="132" spans="5:5" x14ac:dyDescent="0.25">
      <c r="E132" s="97"/>
    </row>
    <row r="133" spans="5:5" x14ac:dyDescent="0.25">
      <c r="E133" s="97"/>
    </row>
    <row r="134" spans="5:5" x14ac:dyDescent="0.25">
      <c r="E134" s="97"/>
    </row>
    <row r="135" spans="5:5" x14ac:dyDescent="0.25">
      <c r="E135" s="97"/>
    </row>
    <row r="136" spans="5:5" x14ac:dyDescent="0.25">
      <c r="E136" s="97"/>
    </row>
    <row r="137" spans="5:5" x14ac:dyDescent="0.25">
      <c r="E137" s="97"/>
    </row>
    <row r="138" spans="5:5" x14ac:dyDescent="0.25">
      <c r="E138" s="97"/>
    </row>
    <row r="139" spans="5:5" x14ac:dyDescent="0.25">
      <c r="E139" s="97"/>
    </row>
    <row r="140" spans="5:5" x14ac:dyDescent="0.25">
      <c r="E140" s="97"/>
    </row>
    <row r="141" spans="5:5" x14ac:dyDescent="0.25">
      <c r="E141" s="97"/>
    </row>
    <row r="142" spans="5:5" x14ac:dyDescent="0.25">
      <c r="E142" s="97"/>
    </row>
    <row r="143" spans="5:5" x14ac:dyDescent="0.25">
      <c r="E143" s="97"/>
    </row>
    <row r="144" spans="5:5" x14ac:dyDescent="0.25">
      <c r="E144" s="97"/>
    </row>
    <row r="145" spans="5:5" x14ac:dyDescent="0.25">
      <c r="E145" s="97"/>
    </row>
    <row r="146" spans="5:5" x14ac:dyDescent="0.25">
      <c r="E146" s="97"/>
    </row>
    <row r="147" spans="5:5" x14ac:dyDescent="0.25">
      <c r="E147" s="97"/>
    </row>
    <row r="148" spans="5:5" x14ac:dyDescent="0.25">
      <c r="E148" s="97"/>
    </row>
    <row r="149" spans="5:5" x14ac:dyDescent="0.25">
      <c r="E149" s="97"/>
    </row>
    <row r="150" spans="5:5" x14ac:dyDescent="0.25">
      <c r="E150" s="97"/>
    </row>
    <row r="151" spans="5:5" x14ac:dyDescent="0.25">
      <c r="E151" s="97"/>
    </row>
    <row r="152" spans="5:5" x14ac:dyDescent="0.25">
      <c r="E152" s="97"/>
    </row>
    <row r="153" spans="5:5" x14ac:dyDescent="0.25">
      <c r="E153" s="97"/>
    </row>
    <row r="154" spans="5:5" x14ac:dyDescent="0.25">
      <c r="E154" s="97"/>
    </row>
    <row r="155" spans="5:5" x14ac:dyDescent="0.25">
      <c r="E155" s="97"/>
    </row>
    <row r="156" spans="5:5" x14ac:dyDescent="0.25">
      <c r="E156" s="97"/>
    </row>
    <row r="157" spans="5:5" x14ac:dyDescent="0.25">
      <c r="E157" s="97"/>
    </row>
    <row r="158" spans="5:5" x14ac:dyDescent="0.25">
      <c r="E158" s="97"/>
    </row>
    <row r="159" spans="5:5" x14ac:dyDescent="0.25">
      <c r="E159" s="97"/>
    </row>
    <row r="160" spans="5:5" x14ac:dyDescent="0.25">
      <c r="E160" s="97"/>
    </row>
    <row r="161" spans="5:5" x14ac:dyDescent="0.25">
      <c r="E161" s="97"/>
    </row>
    <row r="162" spans="5:5" x14ac:dyDescent="0.25">
      <c r="E162" s="97"/>
    </row>
    <row r="163" spans="5:5" x14ac:dyDescent="0.25">
      <c r="E163" s="97"/>
    </row>
    <row r="164" spans="5:5" x14ac:dyDescent="0.25">
      <c r="E164" s="97"/>
    </row>
    <row r="165" spans="5:5" x14ac:dyDescent="0.25">
      <c r="E165" s="97"/>
    </row>
    <row r="166" spans="5:5" x14ac:dyDescent="0.25">
      <c r="E166" s="97"/>
    </row>
    <row r="167" spans="5:5" x14ac:dyDescent="0.25">
      <c r="E167" s="97"/>
    </row>
    <row r="168" spans="5:5" x14ac:dyDescent="0.25">
      <c r="E168" s="97"/>
    </row>
    <row r="169" spans="5:5" x14ac:dyDescent="0.25">
      <c r="E169" s="97"/>
    </row>
    <row r="170" spans="5:5" x14ac:dyDescent="0.25">
      <c r="E170" s="97"/>
    </row>
    <row r="171" spans="5:5" x14ac:dyDescent="0.25">
      <c r="E171" s="97"/>
    </row>
    <row r="172" spans="5:5" x14ac:dyDescent="0.25">
      <c r="E172" s="97"/>
    </row>
    <row r="173" spans="5:5" x14ac:dyDescent="0.25">
      <c r="E173" s="97"/>
    </row>
    <row r="174" spans="5:5" x14ac:dyDescent="0.25">
      <c r="E174" s="97"/>
    </row>
    <row r="175" spans="5:5" x14ac:dyDescent="0.25">
      <c r="E175" s="97"/>
    </row>
    <row r="176" spans="5:5" x14ac:dyDescent="0.25">
      <c r="E176" s="97"/>
    </row>
    <row r="177" spans="5:5" x14ac:dyDescent="0.25">
      <c r="E177" s="97"/>
    </row>
    <row r="178" spans="5:5" x14ac:dyDescent="0.25">
      <c r="E178" s="97"/>
    </row>
    <row r="179" spans="5:5" x14ac:dyDescent="0.25">
      <c r="E179" s="97"/>
    </row>
    <row r="180" spans="5:5" x14ac:dyDescent="0.25">
      <c r="E180" s="97"/>
    </row>
    <row r="181" spans="5:5" x14ac:dyDescent="0.25">
      <c r="E181" s="97"/>
    </row>
    <row r="182" spans="5:5" x14ac:dyDescent="0.25">
      <c r="E182" s="97"/>
    </row>
    <row r="183" spans="5:5" x14ac:dyDescent="0.25">
      <c r="E183" s="97"/>
    </row>
    <row r="184" spans="5:5" x14ac:dyDescent="0.25">
      <c r="E184" s="97"/>
    </row>
    <row r="185" spans="5:5" x14ac:dyDescent="0.25">
      <c r="E185" s="97"/>
    </row>
    <row r="186" spans="5:5" x14ac:dyDescent="0.25">
      <c r="E186" s="97"/>
    </row>
    <row r="187" spans="5:5" x14ac:dyDescent="0.25">
      <c r="E187" s="97"/>
    </row>
    <row r="188" spans="5:5" x14ac:dyDescent="0.25">
      <c r="E188" s="97"/>
    </row>
    <row r="189" spans="5:5" x14ac:dyDescent="0.25">
      <c r="E189" s="97"/>
    </row>
    <row r="190" spans="5:5" x14ac:dyDescent="0.25">
      <c r="E190" s="97"/>
    </row>
    <row r="191" spans="5:5" x14ac:dyDescent="0.25">
      <c r="E191" s="97"/>
    </row>
    <row r="192" spans="5:5" x14ac:dyDescent="0.25">
      <c r="E192" s="97"/>
    </row>
    <row r="193" spans="5:5" x14ac:dyDescent="0.25">
      <c r="E193" s="97"/>
    </row>
    <row r="194" spans="5:5" x14ac:dyDescent="0.25">
      <c r="E194" s="97"/>
    </row>
    <row r="195" spans="5:5" x14ac:dyDescent="0.25">
      <c r="E195" s="97"/>
    </row>
    <row r="196" spans="5:5" x14ac:dyDescent="0.25">
      <c r="E196" s="97"/>
    </row>
    <row r="197" spans="5:5" x14ac:dyDescent="0.25">
      <c r="E197" s="97"/>
    </row>
    <row r="198" spans="5:5" x14ac:dyDescent="0.25">
      <c r="E198" s="97"/>
    </row>
    <row r="199" spans="5:5" x14ac:dyDescent="0.25">
      <c r="E199" s="97"/>
    </row>
    <row r="200" spans="5:5" x14ac:dyDescent="0.25">
      <c r="E200" s="97"/>
    </row>
    <row r="201" spans="5:5" x14ac:dyDescent="0.25">
      <c r="E201" s="97"/>
    </row>
    <row r="202" spans="5:5" x14ac:dyDescent="0.25">
      <c r="E202" s="97"/>
    </row>
    <row r="203" spans="5:5" x14ac:dyDescent="0.25">
      <c r="E203" s="97"/>
    </row>
    <row r="204" spans="5:5" x14ac:dyDescent="0.25">
      <c r="E204" s="97"/>
    </row>
    <row r="205" spans="5:5" x14ac:dyDescent="0.25">
      <c r="E205" s="97"/>
    </row>
    <row r="206" spans="5:5" x14ac:dyDescent="0.25">
      <c r="E206" s="97"/>
    </row>
    <row r="207" spans="5:5" x14ac:dyDescent="0.25">
      <c r="E207" s="97"/>
    </row>
    <row r="208" spans="5:5" x14ac:dyDescent="0.25">
      <c r="E208" s="97"/>
    </row>
    <row r="209" spans="5:5" x14ac:dyDescent="0.25">
      <c r="E209" s="97"/>
    </row>
    <row r="210" spans="5:5" x14ac:dyDescent="0.25">
      <c r="E210" s="97"/>
    </row>
    <row r="211" spans="5:5" x14ac:dyDescent="0.25">
      <c r="E211" s="97"/>
    </row>
    <row r="212" spans="5:5" x14ac:dyDescent="0.25">
      <c r="E212" s="97"/>
    </row>
    <row r="213" spans="5:5" x14ac:dyDescent="0.25">
      <c r="E213" s="97"/>
    </row>
    <row r="214" spans="5:5" x14ac:dyDescent="0.25">
      <c r="E214" s="97"/>
    </row>
    <row r="215" spans="5:5" x14ac:dyDescent="0.25">
      <c r="E215" s="97"/>
    </row>
    <row r="216" spans="5:5" x14ac:dyDescent="0.25">
      <c r="E216" s="97"/>
    </row>
    <row r="217" spans="5:5" x14ac:dyDescent="0.25">
      <c r="E217" s="97"/>
    </row>
    <row r="218" spans="5:5" x14ac:dyDescent="0.25">
      <c r="E218" s="97"/>
    </row>
    <row r="219" spans="5:5" x14ac:dyDescent="0.25">
      <c r="E219" s="97"/>
    </row>
    <row r="220" spans="5:5" x14ac:dyDescent="0.25">
      <c r="E220" s="97"/>
    </row>
    <row r="221" spans="5:5" x14ac:dyDescent="0.25">
      <c r="E221" s="97"/>
    </row>
    <row r="222" spans="5:5" x14ac:dyDescent="0.25">
      <c r="E222" s="97"/>
    </row>
    <row r="223" spans="5:5" x14ac:dyDescent="0.25">
      <c r="E223" s="97"/>
    </row>
    <row r="224" spans="5:5" x14ac:dyDescent="0.25">
      <c r="E224" s="97"/>
    </row>
    <row r="225" spans="5:5" x14ac:dyDescent="0.25">
      <c r="E225" s="97"/>
    </row>
    <row r="226" spans="5:5" x14ac:dyDescent="0.25">
      <c r="E226" s="97"/>
    </row>
    <row r="227" spans="5:5" x14ac:dyDescent="0.25">
      <c r="E227" s="97"/>
    </row>
    <row r="228" spans="5:5" x14ac:dyDescent="0.25">
      <c r="E228" s="97"/>
    </row>
    <row r="229" spans="5:5" x14ac:dyDescent="0.25">
      <c r="E229" s="97"/>
    </row>
    <row r="230" spans="5:5" x14ac:dyDescent="0.25">
      <c r="E230" s="97"/>
    </row>
    <row r="231" spans="5:5" x14ac:dyDescent="0.25">
      <c r="E231" s="97"/>
    </row>
    <row r="232" spans="5:5" x14ac:dyDescent="0.25">
      <c r="E232" s="97"/>
    </row>
    <row r="233" spans="5:5" x14ac:dyDescent="0.25">
      <c r="E233" s="97"/>
    </row>
    <row r="234" spans="5:5" x14ac:dyDescent="0.25">
      <c r="E234" s="97"/>
    </row>
    <row r="235" spans="5:5" x14ac:dyDescent="0.25">
      <c r="E235" s="97"/>
    </row>
    <row r="236" spans="5:5" x14ac:dyDescent="0.25">
      <c r="E236" s="97"/>
    </row>
    <row r="237" spans="5:5" x14ac:dyDescent="0.25">
      <c r="E237" s="97"/>
    </row>
    <row r="238" spans="5:5" x14ac:dyDescent="0.25">
      <c r="E238" s="97"/>
    </row>
    <row r="239" spans="5:5" x14ac:dyDescent="0.25">
      <c r="E239" s="97"/>
    </row>
    <row r="240" spans="5:5" x14ac:dyDescent="0.25">
      <c r="E240" s="97"/>
    </row>
    <row r="241" spans="5:5" x14ac:dyDescent="0.25">
      <c r="E241" s="97"/>
    </row>
    <row r="242" spans="5:5" x14ac:dyDescent="0.25">
      <c r="E242" s="97"/>
    </row>
    <row r="243" spans="5:5" x14ac:dyDescent="0.25">
      <c r="E243" s="97"/>
    </row>
    <row r="244" spans="5:5" x14ac:dyDescent="0.25">
      <c r="E244" s="97"/>
    </row>
    <row r="245" spans="5:5" x14ac:dyDescent="0.25">
      <c r="E245" s="97"/>
    </row>
    <row r="246" spans="5:5" x14ac:dyDescent="0.25">
      <c r="E246" s="97"/>
    </row>
    <row r="247" spans="5:5" x14ac:dyDescent="0.25">
      <c r="E247" s="97"/>
    </row>
    <row r="248" spans="5:5" x14ac:dyDescent="0.25">
      <c r="E248" s="97"/>
    </row>
    <row r="249" spans="5:5" x14ac:dyDescent="0.25">
      <c r="E249" s="97"/>
    </row>
    <row r="250" spans="5:5" x14ac:dyDescent="0.25">
      <c r="E250" s="97"/>
    </row>
    <row r="251" spans="5:5" x14ac:dyDescent="0.25">
      <c r="E251" s="97"/>
    </row>
    <row r="252" spans="5:5" x14ac:dyDescent="0.25">
      <c r="E252" s="97"/>
    </row>
    <row r="253" spans="5:5" x14ac:dyDescent="0.25">
      <c r="E253" s="97"/>
    </row>
    <row r="254" spans="5:5" x14ac:dyDescent="0.25">
      <c r="E254" s="97"/>
    </row>
    <row r="255" spans="5:5" x14ac:dyDescent="0.25">
      <c r="E255" s="97"/>
    </row>
    <row r="256" spans="5:5" x14ac:dyDescent="0.25">
      <c r="E256" s="97"/>
    </row>
    <row r="257" spans="5:5" x14ac:dyDescent="0.25">
      <c r="E257" s="97"/>
    </row>
    <row r="258" spans="5:5" x14ac:dyDescent="0.25">
      <c r="E258" s="97"/>
    </row>
    <row r="259" spans="5:5" x14ac:dyDescent="0.25">
      <c r="E259" s="97"/>
    </row>
    <row r="260" spans="5:5" x14ac:dyDescent="0.25">
      <c r="E260" s="97"/>
    </row>
    <row r="261" spans="5:5" x14ac:dyDescent="0.25">
      <c r="E261" s="97"/>
    </row>
    <row r="262" spans="5:5" x14ac:dyDescent="0.25">
      <c r="E262" s="97"/>
    </row>
    <row r="263" spans="5:5" x14ac:dyDescent="0.25">
      <c r="E263" s="97"/>
    </row>
    <row r="264" spans="5:5" x14ac:dyDescent="0.25">
      <c r="E264" s="97"/>
    </row>
    <row r="265" spans="5:5" x14ac:dyDescent="0.25">
      <c r="E265" s="97"/>
    </row>
    <row r="266" spans="5:5" x14ac:dyDescent="0.25">
      <c r="E266" s="97"/>
    </row>
    <row r="267" spans="5:5" x14ac:dyDescent="0.25">
      <c r="E267" s="97"/>
    </row>
    <row r="268" spans="5:5" x14ac:dyDescent="0.25">
      <c r="E268" s="97"/>
    </row>
    <row r="269" spans="5:5" x14ac:dyDescent="0.25">
      <c r="E269" s="97"/>
    </row>
    <row r="270" spans="5:5" x14ac:dyDescent="0.25">
      <c r="E270" s="97"/>
    </row>
    <row r="271" spans="5:5" x14ac:dyDescent="0.25">
      <c r="E271" s="97"/>
    </row>
    <row r="272" spans="5:5" x14ac:dyDescent="0.25">
      <c r="E272" s="97"/>
    </row>
    <row r="273" spans="5:5" x14ac:dyDescent="0.25">
      <c r="E273" s="97"/>
    </row>
    <row r="274" spans="5:5" x14ac:dyDescent="0.25">
      <c r="E274" s="97"/>
    </row>
    <row r="275" spans="5:5" x14ac:dyDescent="0.25">
      <c r="E275" s="97"/>
    </row>
    <row r="276" spans="5:5" x14ac:dyDescent="0.25">
      <c r="E276" s="97"/>
    </row>
    <row r="277" spans="5:5" x14ac:dyDescent="0.25">
      <c r="E277" s="97"/>
    </row>
    <row r="278" spans="5:5" x14ac:dyDescent="0.25">
      <c r="E278" s="97"/>
    </row>
    <row r="279" spans="5:5" x14ac:dyDescent="0.25">
      <c r="E279" s="97"/>
    </row>
    <row r="280" spans="5:5" x14ac:dyDescent="0.25">
      <c r="E280" s="97"/>
    </row>
    <row r="281" spans="5:5" x14ac:dyDescent="0.25">
      <c r="E281" s="97"/>
    </row>
    <row r="282" spans="5:5" x14ac:dyDescent="0.25">
      <c r="E282" s="97"/>
    </row>
    <row r="283" spans="5:5" x14ac:dyDescent="0.25">
      <c r="E283" s="97"/>
    </row>
    <row r="284" spans="5:5" x14ac:dyDescent="0.25">
      <c r="E284" s="97"/>
    </row>
    <row r="285" spans="5:5" x14ac:dyDescent="0.25">
      <c r="E285" s="97"/>
    </row>
    <row r="286" spans="5:5" x14ac:dyDescent="0.25">
      <c r="E286" s="97"/>
    </row>
    <row r="287" spans="5:5" x14ac:dyDescent="0.25">
      <c r="E287" s="97"/>
    </row>
    <row r="288" spans="5:5" x14ac:dyDescent="0.25">
      <c r="E288" s="97"/>
    </row>
    <row r="289" spans="5:5" x14ac:dyDescent="0.25">
      <c r="E289" s="97"/>
    </row>
    <row r="290" spans="5:5" x14ac:dyDescent="0.25">
      <c r="E290" s="97"/>
    </row>
    <row r="291" spans="5:5" x14ac:dyDescent="0.25">
      <c r="E291" s="97"/>
    </row>
    <row r="292" spans="5:5" x14ac:dyDescent="0.25">
      <c r="E292" s="97"/>
    </row>
    <row r="293" spans="5:5" x14ac:dyDescent="0.25">
      <c r="E293" s="97"/>
    </row>
    <row r="294" spans="5:5" x14ac:dyDescent="0.25">
      <c r="E294" s="97"/>
    </row>
    <row r="295" spans="5:5" x14ac:dyDescent="0.25">
      <c r="E295" s="97"/>
    </row>
    <row r="296" spans="5:5" x14ac:dyDescent="0.25">
      <c r="E296" s="97"/>
    </row>
    <row r="297" spans="5:5" x14ac:dyDescent="0.25">
      <c r="E297" s="97"/>
    </row>
    <row r="298" spans="5:5" x14ac:dyDescent="0.25">
      <c r="E298" s="97"/>
    </row>
    <row r="299" spans="5:5" x14ac:dyDescent="0.25">
      <c r="E299" s="97"/>
    </row>
    <row r="300" spans="5:5" x14ac:dyDescent="0.25">
      <c r="E300" s="97"/>
    </row>
    <row r="301" spans="5:5" x14ac:dyDescent="0.25">
      <c r="E301" s="97"/>
    </row>
    <row r="302" spans="5:5" x14ac:dyDescent="0.25">
      <c r="E302" s="97"/>
    </row>
    <row r="303" spans="5:5" x14ac:dyDescent="0.25">
      <c r="E303" s="97"/>
    </row>
    <row r="304" spans="5:5" x14ac:dyDescent="0.25">
      <c r="E304" s="97"/>
    </row>
    <row r="305" spans="5:5" x14ac:dyDescent="0.25">
      <c r="E305" s="97"/>
    </row>
    <row r="306" spans="5:5" x14ac:dyDescent="0.25">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RowHeight="15" x14ac:dyDescent="0.25"/>
  <cols>
    <col min="1" max="1" width="50.7109375" style="88" customWidth="1"/>
    <col min="2" max="2" width="15.5703125" style="88" customWidth="1"/>
    <col min="3" max="3" width="17.85546875" style="88" customWidth="1"/>
    <col min="4" max="4" width="20.42578125" style="88" customWidth="1"/>
    <col min="5" max="5" width="8.5703125" style="88" customWidth="1"/>
    <col min="6" max="6" width="10.42578125" style="88" customWidth="1"/>
    <col min="7" max="7" width="9.140625" style="88"/>
    <col min="8" max="8" width="11" style="88" customWidth="1"/>
    <col min="9" max="9" width="11.42578125" style="88" customWidth="1"/>
    <col min="10" max="10" width="10.7109375" style="88" customWidth="1"/>
    <col min="11" max="11" width="9.28515625" style="88" customWidth="1"/>
    <col min="12" max="16384" width="9.140625" style="88"/>
  </cols>
  <sheetData>
    <row r="1" spans="1:61" ht="62.25" customHeight="1" x14ac:dyDescent="0.45">
      <c r="A1" s="1758"/>
      <c r="B1" s="1758"/>
      <c r="C1" s="1758"/>
      <c r="D1" s="1758"/>
      <c r="E1" s="1758"/>
      <c r="F1" s="1758"/>
      <c r="G1" s="1758"/>
      <c r="H1" s="1758"/>
      <c r="I1" s="1758"/>
      <c r="J1" s="1758"/>
      <c r="K1" s="1758"/>
      <c r="L1" s="1758"/>
      <c r="M1" s="1758"/>
      <c r="N1" s="1758"/>
      <c r="O1" s="1758"/>
      <c r="P1" s="1758"/>
      <c r="Q1" s="1758"/>
      <c r="R1" s="1758"/>
      <c r="S1" s="1758"/>
      <c r="T1" s="1758"/>
      <c r="U1" s="1758"/>
      <c r="V1" s="1758"/>
      <c r="W1" s="1758"/>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25">
      <c r="A2" s="103"/>
      <c r="B2" s="103"/>
      <c r="C2" s="104"/>
      <c r="D2" s="105"/>
      <c r="E2" s="106"/>
      <c r="F2" s="107"/>
    </row>
    <row r="3" spans="1:61" x14ac:dyDescent="0.25">
      <c r="A3" s="88" t="s">
        <v>822</v>
      </c>
      <c r="B3" s="88">
        <f>40*12</f>
        <v>480</v>
      </c>
    </row>
    <row r="4" spans="1:61" ht="42.95" customHeight="1" x14ac:dyDescent="0.25">
      <c r="A4" s="108"/>
      <c r="B4" s="108"/>
      <c r="C4" s="108"/>
      <c r="D4" s="88" t="s">
        <v>1350</v>
      </c>
      <c r="F4" s="88" t="s">
        <v>1395</v>
      </c>
    </row>
    <row r="5" spans="1:61" x14ac:dyDescent="0.25">
      <c r="A5" s="108"/>
      <c r="B5" s="109" t="s">
        <v>977</v>
      </c>
      <c r="C5" s="108">
        <v>0.15</v>
      </c>
      <c r="D5" s="88">
        <v>11</v>
      </c>
    </row>
    <row r="6" spans="1:61" x14ac:dyDescent="0.25">
      <c r="A6" s="108"/>
      <c r="B6" s="109" t="s">
        <v>1325</v>
      </c>
      <c r="C6" s="108">
        <v>0.22</v>
      </c>
      <c r="D6" s="88">
        <v>50</v>
      </c>
      <c r="F6" s="110">
        <f>$D$5/D6</f>
        <v>0.22</v>
      </c>
    </row>
    <row r="7" spans="1:61" x14ac:dyDescent="0.25">
      <c r="A7" s="108"/>
      <c r="B7" s="109" t="s">
        <v>978</v>
      </c>
      <c r="C7" s="108">
        <v>0.22</v>
      </c>
      <c r="D7" s="88">
        <v>53.3</v>
      </c>
      <c r="F7" s="110">
        <f>$D$5/D7</f>
        <v>0.20637898686679176</v>
      </c>
    </row>
    <row r="8" spans="1:61" x14ac:dyDescent="0.25">
      <c r="A8" s="108"/>
      <c r="B8" s="109" t="s">
        <v>979</v>
      </c>
      <c r="C8" s="111">
        <v>0.57999999999999996</v>
      </c>
      <c r="D8" s="88">
        <v>78</v>
      </c>
      <c r="F8" s="110">
        <f>$D$5/D8</f>
        <v>0.14102564102564102</v>
      </c>
    </row>
    <row r="9" spans="1:61" ht="32.25" customHeight="1" x14ac:dyDescent="0.25">
      <c r="A9" s="108"/>
      <c r="B9" s="109" t="s">
        <v>461</v>
      </c>
      <c r="C9" s="108">
        <v>0.15</v>
      </c>
      <c r="D9" s="88">
        <v>11</v>
      </c>
      <c r="F9" s="110">
        <v>1</v>
      </c>
    </row>
    <row r="10" spans="1:61" ht="24.75" customHeight="1" x14ac:dyDescent="0.25">
      <c r="A10" s="108"/>
      <c r="B10" s="109" t="s">
        <v>980</v>
      </c>
      <c r="C10" s="108"/>
      <c r="D10" s="88">
        <v>16</v>
      </c>
      <c r="E10" s="88" t="s">
        <v>1351</v>
      </c>
      <c r="F10" s="110">
        <f>$D$5/D10</f>
        <v>0.6875</v>
      </c>
    </row>
    <row r="11" spans="1:61" x14ac:dyDescent="0.25">
      <c r="A11" s="108"/>
      <c r="B11" s="108"/>
      <c r="C11" s="108"/>
    </row>
    <row r="12" spans="1:61" x14ac:dyDescent="0.25">
      <c r="A12" s="112"/>
      <c r="B12" s="108"/>
      <c r="C12" s="108"/>
    </row>
    <row r="13" spans="1:61" ht="28.5" customHeight="1" x14ac:dyDescent="0.25"/>
    <row r="14" spans="1:61" ht="43.5" customHeight="1" x14ac:dyDescent="0.25">
      <c r="B14" s="112"/>
    </row>
    <row r="15" spans="1:61" ht="13.5" customHeight="1" x14ac:dyDescent="0.25">
      <c r="A15" s="113"/>
    </row>
    <row r="16" spans="1:61" ht="13.5" customHeight="1" x14ac:dyDescent="0.25">
      <c r="A16" s="113"/>
      <c r="B16" s="113"/>
      <c r="C16" s="113"/>
      <c r="D16" s="113"/>
      <c r="E16" s="113"/>
      <c r="F16" s="113"/>
    </row>
    <row r="17" spans="1:6" ht="13.5" customHeight="1" x14ac:dyDescent="0.25">
      <c r="A17" s="114" t="s">
        <v>975</v>
      </c>
      <c r="B17" s="113" t="s">
        <v>1514</v>
      </c>
      <c r="D17" s="113"/>
      <c r="E17" s="113"/>
      <c r="F17" s="113"/>
    </row>
    <row r="18" spans="1:6" ht="13.5" customHeight="1" x14ac:dyDescent="0.25">
      <c r="A18" s="114" t="s">
        <v>984</v>
      </c>
      <c r="B18" s="115">
        <f>'Ввод исходных данных'!G130*'Ввод исходных данных'!H130*'Ввод исходных данных'!D130/1000</f>
        <v>0</v>
      </c>
      <c r="C18" s="113"/>
      <c r="D18" s="113"/>
      <c r="E18" s="113"/>
      <c r="F18" s="113"/>
    </row>
    <row r="19" spans="1:6" ht="13.5" customHeight="1" x14ac:dyDescent="0.25">
      <c r="A19" s="114" t="s">
        <v>985</v>
      </c>
      <c r="B19" s="115">
        <f>'Ввод исходных данных'!G131*'Ввод исходных данных'!H131*'Ввод исходных данных'!D131/1000</f>
        <v>0</v>
      </c>
      <c r="C19" s="113"/>
      <c r="D19" s="113"/>
      <c r="E19" s="113"/>
      <c r="F19" s="113"/>
    </row>
    <row r="20" spans="1:6" ht="13.5" customHeight="1" x14ac:dyDescent="0.25">
      <c r="A20" s="114" t="s">
        <v>1486</v>
      </c>
      <c r="B20" s="115">
        <f>'Ввод исходных данных'!G132*'Ввод исходных данных'!H132*'Ввод исходных данных'!D132/1000</f>
        <v>0</v>
      </c>
      <c r="C20" s="113"/>
      <c r="D20" s="113"/>
      <c r="E20" s="113"/>
      <c r="F20" s="113"/>
    </row>
    <row r="21" spans="1:6" ht="13.5" customHeight="1" x14ac:dyDescent="0.25">
      <c r="A21" s="114" t="s">
        <v>1487</v>
      </c>
      <c r="B21" s="116">
        <f>'Ввод исходных данных'!G133*'Ввод исходных данных'!H133*'Ввод исходных данных'!D133/1000</f>
        <v>0</v>
      </c>
      <c r="C21" s="113"/>
      <c r="D21" s="113"/>
      <c r="E21" s="113"/>
      <c r="F21" s="113"/>
    </row>
    <row r="22" spans="1:6" ht="13.5" customHeight="1" x14ac:dyDescent="0.25">
      <c r="A22" s="113"/>
      <c r="B22" s="116">
        <f>'Ввод исходных данных'!G134*'Ввод исходных данных'!H134*'Ввод исходных данных'!D134/1000</f>
        <v>0</v>
      </c>
      <c r="C22" s="113"/>
      <c r="D22" s="113"/>
      <c r="E22" s="113"/>
      <c r="F22" s="113"/>
    </row>
    <row r="23" spans="1:6" ht="13.5" customHeight="1" x14ac:dyDescent="0.25">
      <c r="A23" s="113"/>
      <c r="B23" s="116"/>
      <c r="C23" s="113"/>
      <c r="D23" s="113"/>
      <c r="E23" s="113"/>
      <c r="F23" s="113"/>
    </row>
    <row r="24" spans="1:6" ht="15" customHeight="1" x14ac:dyDescent="0.25">
      <c r="A24" s="117" t="s">
        <v>824</v>
      </c>
      <c r="B24" s="113"/>
      <c r="C24" s="113"/>
      <c r="D24" s="113"/>
      <c r="E24" s="113"/>
      <c r="F24" s="113"/>
    </row>
    <row r="25" spans="1:6" ht="56.1" customHeight="1" x14ac:dyDescent="0.25">
      <c r="A25" s="90" t="s">
        <v>825</v>
      </c>
      <c r="C25" s="118"/>
      <c r="D25" s="118"/>
      <c r="E25" s="118"/>
    </row>
    <row r="26" spans="1:6" ht="15.6" customHeight="1" x14ac:dyDescent="0.25">
      <c r="A26" s="119" t="s">
        <v>829</v>
      </c>
      <c r="B26" s="120" t="s">
        <v>826</v>
      </c>
      <c r="C26" s="121" t="s">
        <v>827</v>
      </c>
      <c r="D26" s="121" t="s">
        <v>828</v>
      </c>
      <c r="E26" s="118"/>
    </row>
    <row r="27" spans="1:6" ht="16.5" customHeight="1" x14ac:dyDescent="0.25">
      <c r="A27" s="122" t="s">
        <v>829</v>
      </c>
      <c r="B27" s="123">
        <f>7.5</f>
        <v>7.5</v>
      </c>
      <c r="C27" s="124">
        <f>2200</f>
        <v>2200</v>
      </c>
      <c r="D27" s="124">
        <f>1460</f>
        <v>1460</v>
      </c>
      <c r="E27" s="118"/>
      <c r="F27" s="88">
        <f>B27*C27</f>
        <v>16500</v>
      </c>
    </row>
    <row r="28" spans="1:6" x14ac:dyDescent="0.25">
      <c r="A28" s="125" t="s">
        <v>830</v>
      </c>
      <c r="B28" s="126"/>
      <c r="C28" s="127"/>
      <c r="D28" s="128"/>
      <c r="E28" s="1871" t="s">
        <v>823</v>
      </c>
    </row>
    <row r="29" spans="1:6" x14ac:dyDescent="0.25">
      <c r="A29" s="125" t="s">
        <v>832</v>
      </c>
      <c r="B29" s="129">
        <f>6.5</f>
        <v>6.5</v>
      </c>
      <c r="C29" s="1872" t="s">
        <v>831</v>
      </c>
      <c r="D29" s="130"/>
      <c r="E29" s="1871"/>
    </row>
    <row r="30" spans="1:6" x14ac:dyDescent="0.25">
      <c r="A30" s="131" t="s">
        <v>833</v>
      </c>
      <c r="B30" s="129">
        <f>25.2</f>
        <v>25.2</v>
      </c>
      <c r="C30" s="1872"/>
      <c r="D30" s="130"/>
      <c r="E30" s="1871"/>
    </row>
    <row r="31" spans="1:6" ht="25.5" customHeight="1" x14ac:dyDescent="0.25">
      <c r="A31" s="132" t="s">
        <v>973</v>
      </c>
      <c r="B31" s="133">
        <f>11</f>
        <v>11</v>
      </c>
      <c r="C31" s="1873"/>
      <c r="D31" s="134"/>
      <c r="E31" s="1871"/>
    </row>
    <row r="32" spans="1:6" x14ac:dyDescent="0.25">
      <c r="A32" s="103"/>
      <c r="B32" s="132"/>
      <c r="C32" s="132"/>
      <c r="D32" s="132"/>
      <c r="E32" s="107"/>
    </row>
    <row r="33" spans="1:23" x14ac:dyDescent="0.25">
      <c r="A33" s="103" t="s">
        <v>866</v>
      </c>
      <c r="B33" s="104"/>
      <c r="C33" s="105" t="s">
        <v>899</v>
      </c>
      <c r="D33" s="106" t="s">
        <v>900</v>
      </c>
      <c r="E33" s="107"/>
      <c r="G33" s="88" t="e">
        <f>C34*0.86/1000</f>
        <v>#N/A</v>
      </c>
    </row>
    <row r="34" spans="1:23" x14ac:dyDescent="0.25">
      <c r="A34" s="103"/>
      <c r="B34" s="104" t="s">
        <v>1619</v>
      </c>
      <c r="C34" s="135" t="e">
        <f>('Расчет базового уровня'!F144+'Расчет базового уровня'!F151-'Расчет базового уровня'!F148)*'Расчет базового уровня'!D158</f>
        <v>#N/A</v>
      </c>
      <c r="D34" s="136" t="e">
        <f>('Расчет после реализации'!F144+'Расчет после реализации'!F151-'Расчет после реализации'!F148)*'Расчет после реализации'!D158</f>
        <v>#N/A</v>
      </c>
      <c r="E34" s="88" t="s">
        <v>1623</v>
      </c>
    </row>
    <row r="35" spans="1:23" x14ac:dyDescent="0.25">
      <c r="A35" s="103" t="e">
        <f>C35*$C$43*0.00272/$C$44</f>
        <v>#N/A</v>
      </c>
      <c r="B35" s="104" t="s">
        <v>1621</v>
      </c>
      <c r="C35" s="137" t="e">
        <f>3.6*C34/('Ввод исходных данных'!$D$176-'Ввод исходных данных'!$D$177)/4.2</f>
        <v>#N/A</v>
      </c>
      <c r="D35" s="137" t="e">
        <f>3.6*D34/('Ввод исходных данных'!$D$176-'Ввод исходных данных'!$D$177)/4.2</f>
        <v>#N/A</v>
      </c>
      <c r="E35" s="106" t="s">
        <v>885</v>
      </c>
    </row>
    <row r="36" spans="1:23" x14ac:dyDescent="0.25">
      <c r="A36" s="90" t="s">
        <v>867</v>
      </c>
      <c r="B36" s="104" t="s">
        <v>1622</v>
      </c>
      <c r="C36" s="138" t="e">
        <f>C35*$C$43*0.00272/$C$44*(24*'Ввод исходных данных'!D245)</f>
        <v>#N/A</v>
      </c>
      <c r="D36" s="138" t="e">
        <f>D35*$C$43*0.00272/$C$44*(24*'Ввод исходных данных'!D245)</f>
        <v>#N/A</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25">
      <c r="A37" s="139" t="s">
        <v>870</v>
      </c>
      <c r="B37" s="140" t="s">
        <v>921</v>
      </c>
      <c r="C37" s="141" t="s">
        <v>868</v>
      </c>
      <c r="D37" s="142" t="s">
        <v>869</v>
      </c>
      <c r="E37" s="107" t="s">
        <v>488</v>
      </c>
      <c r="F37" s="88" t="s">
        <v>489</v>
      </c>
      <c r="K37" s="107"/>
    </row>
    <row r="38" spans="1:23" ht="28.5" x14ac:dyDescent="0.25">
      <c r="A38" s="143" t="s">
        <v>871</v>
      </c>
      <c r="B38" s="144"/>
      <c r="C38" s="144"/>
      <c r="D38" s="145"/>
      <c r="K38" s="107"/>
    </row>
    <row r="39" spans="1:23" ht="37.5" x14ac:dyDescent="0.25">
      <c r="A39" s="146" t="s">
        <v>874</v>
      </c>
      <c r="B39" s="147" t="s">
        <v>872</v>
      </c>
      <c r="C39" s="148">
        <f>40</f>
        <v>40</v>
      </c>
      <c r="D39" s="149" t="s">
        <v>873</v>
      </c>
      <c r="K39" s="107"/>
    </row>
    <row r="40" spans="1:23" ht="46.5" customHeight="1" x14ac:dyDescent="0.25">
      <c r="A40" s="150" t="s">
        <v>876</v>
      </c>
      <c r="B40" s="151" t="s">
        <v>875</v>
      </c>
      <c r="C40" s="152">
        <f>C39/(1163*1)</f>
        <v>3.4393809114359415E-2</v>
      </c>
      <c r="D40" s="153"/>
      <c r="G40" s="154" t="e">
        <f>'Расчет базового уровня'!O35/('Ввод исходных данных'!$D$176-'Ввод исходных данных'!$D$177)/4.2*3.6</f>
        <v>#N/A</v>
      </c>
      <c r="H40" s="154" t="e">
        <f>'Расчет базового уровня'!R35/('Ввод исходных данных'!$D$176-'Ввод исходных данных'!$D$177)/4.2*3.6</f>
        <v>#N/A</v>
      </c>
      <c r="I40" s="154" t="e">
        <f>'Расчет базового уровня'!U35/('Ввод исходных данных'!$D$176-'Ввод исходных данных'!$D$177)/4.2*3.6</f>
        <v>#N/A</v>
      </c>
      <c r="J40" s="154" t="e">
        <f>'Расчет базового уровня'!X35/('Ввод исходных данных'!$D$176-'Ввод исходных данных'!$D$177)/4.2*3.6</f>
        <v>#N/A</v>
      </c>
      <c r="K40" s="154" t="e">
        <f>'Расчет базового уровня'!AA35/('Ввод исходных данных'!$D$176-'Ввод исходных данных'!$D$177)/4.2*3.6</f>
        <v>#N/A</v>
      </c>
      <c r="L40" s="154" t="e">
        <f>'Расчет базового уровня'!AD35/('Ввод исходных данных'!$D$176-'Ввод исходных данных'!$D$177)/4.2*3.6</f>
        <v>#N/A</v>
      </c>
      <c r="M40" s="154" t="e">
        <f>'Расчет базового уровня'!AG35/('Ввод исходных данных'!$D$176-'Ввод исходных данных'!$D$177)/4.2*3.6</f>
        <v>#N/A</v>
      </c>
      <c r="N40" s="154" t="e">
        <f>'Расчет базового уровня'!AJ35/('Ввод исходных данных'!$D$176-'Ввод исходных данных'!$D$177)/4.2*3.6</f>
        <v>#N/A</v>
      </c>
      <c r="O40" s="154" t="e">
        <f>'Расчет базового уровня'!AM35/('Ввод исходных данных'!$D$176-'Ввод исходных данных'!$D$177)/4.2*3.6</f>
        <v>#N/A</v>
      </c>
      <c r="P40" s="154" t="e">
        <f>'Расчет базового уровня'!AP35/('Ввод исходных данных'!$D$176-'Ввод исходных данных'!$D$177)/4.2*3.6</f>
        <v>#N/A</v>
      </c>
    </row>
    <row r="41" spans="1:23" ht="22.5" customHeight="1" x14ac:dyDescent="0.25">
      <c r="A41" s="155" t="s">
        <v>1396</v>
      </c>
      <c r="B41" s="147" t="s">
        <v>494</v>
      </c>
      <c r="C41" s="156" t="e">
        <f>'Расчет базового уровня'!C35/('Ввод исходных данных'!D176-'Ввод исходных данных'!D177)/4.2*3.6</f>
        <v>#N/A</v>
      </c>
      <c r="D41" s="149" t="s">
        <v>877</v>
      </c>
      <c r="E41" s="154" t="e">
        <f>'Расчет базового уровня'!I35/('Ввод исходных данных'!$D$176-'Ввод исходных данных'!$D$177)/4.2*3.6</f>
        <v>#N/A</v>
      </c>
      <c r="F41" s="154" t="e">
        <f>'Расчет базового уровня'!L35/('Ввод исходных данных'!$D$176-'Ввод исходных данных'!$D$177)/4.2*3.6</f>
        <v>#N/A</v>
      </c>
      <c r="G41" s="157" t="e">
        <f>'Расчет после реализации'!N35/('Ввод исходных данных'!$D$176-'Ввод исходных данных'!$D$177)/4.2*3.6</f>
        <v>#N/A</v>
      </c>
      <c r="H41" s="157" t="e">
        <f>'Расчет после реализации'!P35/('Ввод исходных данных'!$D$176-'Ввод исходных данных'!$D$177)/4.2*3.6</f>
        <v>#N/A</v>
      </c>
      <c r="I41" s="157" t="e">
        <f>'Расчет после реализации'!R35/('Ввод исходных данных'!$D$176-'Ввод исходных данных'!$D$177)/4.2*3.6</f>
        <v>#N/A</v>
      </c>
      <c r="J41" s="157" t="e">
        <f>'Расчет после реализации'!T35/('Ввод исходных данных'!$D$176-'Ввод исходных данных'!$D$177)/4.2*3.6</f>
        <v>#N/A</v>
      </c>
      <c r="K41" s="157" t="e">
        <f>'Расчет после реализации'!V35/('Ввод исходных данных'!$D$176-'Ввод исходных данных'!$D$177)/4.2*3.6</f>
        <v>#N/A</v>
      </c>
      <c r="L41" s="157" t="e">
        <f>'Расчет после реализации'!X35/('Ввод исходных данных'!$D$176-'Ввод исходных данных'!$D$177)/4.2*3.6</f>
        <v>#N/A</v>
      </c>
      <c r="M41" s="157" t="e">
        <f>'Расчет после реализации'!Z35/('Ввод исходных данных'!$D$176-'Ввод исходных данных'!$D$177)/4.2*3.6</f>
        <v>#N/A</v>
      </c>
      <c r="N41" s="157" t="e">
        <f>'Расчет после реализации'!AB35/('Ввод исходных данных'!$D$176-'Ввод исходных данных'!$D$177)/4.2*3.6</f>
        <v>#N/A</v>
      </c>
      <c r="O41" s="157" t="e">
        <f>'Расчет после реализации'!AD35/('Ввод исходных данных'!$D$176-'Ввод исходных данных'!$D$177)/4.2*3.6</f>
        <v>#N/A</v>
      </c>
      <c r="P41" s="157" t="e">
        <f>'Расчет после реализации'!AF35/('Ввод исходных данных'!$D$176-'Ввод исходных данных'!$D$177)/4.2*3.6</f>
        <v>#N/A</v>
      </c>
      <c r="Q41" s="157"/>
      <c r="R41" s="157"/>
      <c r="S41" s="157"/>
      <c r="T41" s="157"/>
      <c r="U41" s="157"/>
      <c r="V41" s="157"/>
      <c r="W41" s="157"/>
    </row>
    <row r="42" spans="1:23" ht="24" customHeight="1" x14ac:dyDescent="0.25">
      <c r="A42" s="158" t="s">
        <v>878</v>
      </c>
      <c r="B42" s="159"/>
      <c r="C42" s="157" t="e">
        <f>'Расчет после реализации'!D35/('Ввод исходных данных'!$D$176-'Ввод исходных данных'!$D$177)/4.2*3.6</f>
        <v>#N/A</v>
      </c>
      <c r="D42" s="160"/>
      <c r="E42" s="157" t="e">
        <f>'Расчет после реализации'!J35/('Ввод исходных данных'!$D$176-'Ввод исходных данных'!$D$177)/4.2*3.6</f>
        <v>#N/A</v>
      </c>
      <c r="F42" s="157" t="e">
        <f>'Расчет после реализации'!L35/('Ввод исходных данных'!$D$176-'Ввод исходных данных'!$D$177)/4.2*3.6</f>
        <v>#N/A</v>
      </c>
      <c r="K42" s="107"/>
    </row>
    <row r="43" spans="1:23" ht="38.25" customHeight="1" x14ac:dyDescent="0.25">
      <c r="A43" s="161" t="s">
        <v>879</v>
      </c>
      <c r="B43" s="147" t="s">
        <v>922</v>
      </c>
      <c r="C43" s="148">
        <v>6</v>
      </c>
      <c r="D43" s="149" t="s">
        <v>923</v>
      </c>
      <c r="J43" s="112"/>
      <c r="K43" s="107"/>
    </row>
    <row r="44" spans="1:23" ht="12" customHeight="1" x14ac:dyDescent="0.25">
      <c r="A44" s="162" t="s">
        <v>597</v>
      </c>
      <c r="B44" s="123"/>
      <c r="C44" s="163">
        <v>0.7</v>
      </c>
      <c r="D44" s="164" t="s">
        <v>880</v>
      </c>
      <c r="K44" s="107"/>
    </row>
    <row r="45" spans="1:23" ht="36" x14ac:dyDescent="0.25">
      <c r="A45" s="165" t="s">
        <v>882</v>
      </c>
      <c r="B45" s="166"/>
      <c r="C45" s="167">
        <f>1</f>
        <v>1</v>
      </c>
      <c r="D45" s="168" t="s">
        <v>881</v>
      </c>
      <c r="G45" s="112"/>
      <c r="H45" s="112"/>
      <c r="I45" s="112"/>
      <c r="J45" s="112"/>
      <c r="K45" s="112"/>
      <c r="L45" s="112"/>
      <c r="M45" s="112"/>
      <c r="N45" s="112"/>
      <c r="O45" s="112"/>
      <c r="P45" s="112"/>
    </row>
    <row r="46" spans="1:23" ht="25.5" x14ac:dyDescent="0.25">
      <c r="A46" s="169" t="s">
        <v>1627</v>
      </c>
      <c r="B46" s="147" t="s">
        <v>883</v>
      </c>
      <c r="C46" s="152">
        <f>$C$43*0.00272/$C$44</f>
        <v>2.3314285714285718E-2</v>
      </c>
      <c r="D46" s="164"/>
      <c r="E46" s="112"/>
      <c r="F46" s="112"/>
      <c r="G46" s="170" t="e">
        <f t="shared" ref="G46:P46" si="0">0.00272*G40*10/$C$44</f>
        <v>#N/A</v>
      </c>
      <c r="H46" s="170" t="e">
        <f t="shared" si="0"/>
        <v>#N/A</v>
      </c>
      <c r="I46" s="170" t="e">
        <f t="shared" si="0"/>
        <v>#N/A</v>
      </c>
      <c r="J46" s="170" t="e">
        <f t="shared" si="0"/>
        <v>#N/A</v>
      </c>
      <c r="K46" s="170" t="e">
        <f t="shared" si="0"/>
        <v>#N/A</v>
      </c>
      <c r="L46" s="170" t="e">
        <f t="shared" si="0"/>
        <v>#N/A</v>
      </c>
      <c r="M46" s="170" t="e">
        <f t="shared" si="0"/>
        <v>#N/A</v>
      </c>
      <c r="N46" s="170" t="e">
        <f t="shared" si="0"/>
        <v>#N/A</v>
      </c>
      <c r="O46" s="170" t="e">
        <f t="shared" si="0"/>
        <v>#N/A</v>
      </c>
      <c r="P46" s="170" t="e">
        <f t="shared" si="0"/>
        <v>#N/A</v>
      </c>
    </row>
    <row r="47" spans="1:23" x14ac:dyDescent="0.25">
      <c r="A47" s="171" t="s">
        <v>1396</v>
      </c>
      <c r="B47" s="147" t="s">
        <v>842</v>
      </c>
      <c r="C47" s="170" t="e">
        <f>0.00272*C41*10/$C$44</f>
        <v>#N/A</v>
      </c>
      <c r="D47" s="172"/>
      <c r="E47" s="170" t="e">
        <f>0.00272*E41*10/$C$44</f>
        <v>#N/A</v>
      </c>
      <c r="F47" s="170" t="e">
        <f>0.00272*F41*10/$C$44</f>
        <v>#N/A</v>
      </c>
      <c r="G47" s="170" t="e">
        <f t="shared" ref="G47:P47" si="1">0.00272*G41*10/$C$44</f>
        <v>#N/A</v>
      </c>
      <c r="H47" s="170" t="e">
        <f t="shared" si="1"/>
        <v>#N/A</v>
      </c>
      <c r="I47" s="170" t="e">
        <f t="shared" si="1"/>
        <v>#N/A</v>
      </c>
      <c r="J47" s="170" t="e">
        <f t="shared" si="1"/>
        <v>#N/A</v>
      </c>
      <c r="K47" s="170" t="e">
        <f t="shared" si="1"/>
        <v>#N/A</v>
      </c>
      <c r="L47" s="170" t="e">
        <f t="shared" si="1"/>
        <v>#N/A</v>
      </c>
      <c r="M47" s="170" t="e">
        <f t="shared" si="1"/>
        <v>#N/A</v>
      </c>
      <c r="N47" s="170" t="e">
        <f t="shared" si="1"/>
        <v>#N/A</v>
      </c>
      <c r="O47" s="170" t="e">
        <f t="shared" si="1"/>
        <v>#N/A</v>
      </c>
      <c r="P47" s="170" t="e">
        <f t="shared" si="1"/>
        <v>#N/A</v>
      </c>
    </row>
    <row r="48" spans="1:23" ht="25.5" x14ac:dyDescent="0.25">
      <c r="A48" s="169" t="s">
        <v>1628</v>
      </c>
      <c r="B48" s="147"/>
      <c r="C48" s="170" t="e">
        <f>0.00272*C42*10/$C$44</f>
        <v>#N/A</v>
      </c>
      <c r="D48" s="172"/>
      <c r="E48" s="170" t="e">
        <f>0.00272*E42*10/$C$44</f>
        <v>#N/A</v>
      </c>
      <c r="F48" s="170" t="e">
        <f>0.00272*F42*10/$C$44</f>
        <v>#N/A</v>
      </c>
      <c r="G48" s="173" t="e">
        <f>$C$35*$C$43*0.00272/$C$44*(24*'Расчет после реализации'!I146)</f>
        <v>#N/A</v>
      </c>
      <c r="H48" s="173" t="e">
        <f>$C$35*$C$43*0.00272/$C$44*(24*'Расчет после реализации'!J146)</f>
        <v>#N/A</v>
      </c>
      <c r="I48" s="173" t="e">
        <f>$C$35*$C$43*0.00272/$C$44*(24*'Расчет после реализации'!K146)</f>
        <v>#N/A</v>
      </c>
      <c r="J48" s="173" t="e">
        <f>$C$35*$C$43*0.00272/$C$44*(24*'Расчет после реализации'!L146)</f>
        <v>#N/A</v>
      </c>
      <c r="K48" s="173" t="e">
        <f>$C$35*$C$43*0.00272/$C$44*(24*'Расчет после реализации'!M146)</f>
        <v>#N/A</v>
      </c>
      <c r="L48" s="173" t="e">
        <f>$C$35*$C$43*0.00272/$C$44*(24*'Расчет после реализации'!N146)</f>
        <v>#N/A</v>
      </c>
      <c r="M48" s="173" t="e">
        <f>$C$35*$C$43*0.00272/$C$44*(24*'Расчет после реализации'!O146)</f>
        <v>#N/A</v>
      </c>
      <c r="N48" s="173" t="e">
        <f>$C$35*$C$43*0.00272/$C$44*(24*'Расчет после реализации'!P146)</f>
        <v>#N/A</v>
      </c>
      <c r="O48" s="173" t="e">
        <f>$C$35*$C$43*0.00272/$C$44*(24*'Расчет после реализации'!Q146)</f>
        <v>#N/A</v>
      </c>
      <c r="P48" s="173" t="e">
        <f>$C$35*$C$43*0.00272/$C$44*(24*'Расчет после реализации'!R146)</f>
        <v>#N/A</v>
      </c>
      <c r="Q48" s="112"/>
    </row>
    <row r="49" spans="1:17" x14ac:dyDescent="0.25">
      <c r="A49" s="171" t="s">
        <v>1396</v>
      </c>
      <c r="B49" s="147" t="s">
        <v>842</v>
      </c>
      <c r="C49" s="173" t="e">
        <f>C35*6*0.00272/$C$44*(24*'Ввод исходных данных'!D245)</f>
        <v>#N/A</v>
      </c>
      <c r="D49" s="174"/>
      <c r="E49" s="173" t="e">
        <f>$C$35*$C$43*0.00272/$C$44*(24*'Расчет после реализации'!G146)</f>
        <v>#N/A</v>
      </c>
      <c r="F49" s="173" t="e">
        <f>$C$35*$C$43*0.00272/$C$44*(24*'Расчет после реализации'!H146)</f>
        <v>#N/A</v>
      </c>
      <c r="G49" s="175" t="e">
        <f>$D$35*$C$43*0.00272/$C$44*(24*'Расчет после реализации'!I146)</f>
        <v>#N/A</v>
      </c>
      <c r="H49" s="175" t="e">
        <f>$D$35*$C$43*0.00272/$C$44*(24*'Расчет после реализации'!J146)</f>
        <v>#N/A</v>
      </c>
      <c r="I49" s="175" t="e">
        <f>$D$35*$C$43*0.00272/$C$44*(24*'Расчет после реализации'!K146)</f>
        <v>#N/A</v>
      </c>
      <c r="J49" s="175" t="e">
        <f>$D$35*$C$43*0.00272/$C$44*(24*'Расчет после реализации'!L146)</f>
        <v>#N/A</v>
      </c>
      <c r="K49" s="175" t="e">
        <f>$D$35*$C$43*0.00272/$C$44*(24*'Расчет после реализации'!M146)</f>
        <v>#N/A</v>
      </c>
      <c r="L49" s="175" t="e">
        <f>$D$35*$C$43*0.00272/$C$44*(24*'Расчет после реализации'!N146)</f>
        <v>#N/A</v>
      </c>
      <c r="M49" s="175" t="e">
        <f>$D$35*$C$43*0.00272/$C$44*(24*'Расчет после реализации'!O146)</f>
        <v>#N/A</v>
      </c>
      <c r="N49" s="175" t="e">
        <f>$D$35*$C$43*0.00272/$C$44*(24*'Расчет после реализации'!P146)</f>
        <v>#N/A</v>
      </c>
      <c r="O49" s="175" t="e">
        <f>$D$35*$C$43*0.00272/$C$44*(24*'Расчет после реализации'!Q146)</f>
        <v>#N/A</v>
      </c>
      <c r="P49" s="175" t="e">
        <f>$D$35*$C$43*0.00272/$C$44*(24*'Расчет после реализации'!R146)</f>
        <v>#N/A</v>
      </c>
      <c r="Q49" s="112"/>
    </row>
    <row r="50" spans="1:17" x14ac:dyDescent="0.25">
      <c r="A50" s="171" t="s">
        <v>1629</v>
      </c>
      <c r="B50" s="176"/>
      <c r="C50" s="177" t="e">
        <f>D35*$C$43*0.00272/$C$44*(24*'Ввод исходных данных'!D245)</f>
        <v>#N/A</v>
      </c>
      <c r="D50" s="178"/>
      <c r="E50" s="175" t="e">
        <f>$D$35*$C$43*0.00272/$C$44*(24*'Расчет после реализации'!G146)</f>
        <v>#N/A</v>
      </c>
      <c r="F50" s="175" t="e">
        <f>$D$35*$C$43*0.00272/$C$44*(24*'Расчет после реализации'!H146)</f>
        <v>#N/A</v>
      </c>
      <c r="G50" s="179" t="e">
        <f>IF('Список мероприятий'!$D$33=списки!$N$46,'Система электроснабжения'!G49,'Система электроснабжения'!G47)*IF('Список мероприятий'!AF44=1,0.9,1)*IF('Список мероприятий'!$AB$52=1,0.9572,1)</f>
        <v>#N/A</v>
      </c>
      <c r="H50" s="179" t="e">
        <f>IF('Список мероприятий'!$D$33=списки!$N$46,'Система электроснабжения'!H49,'Система электроснабжения'!H47)*IF('Список мероприятий'!AG44=1,0.9,1)*IF('Список мероприятий'!$AB$52=1,0.9572,1)</f>
        <v>#N/A</v>
      </c>
      <c r="I50" s="179" t="e">
        <f>IF('Список мероприятий'!$D$33=списки!$N$46,'Система электроснабжения'!I49,'Система электроснабжения'!I47)*IF('Список мероприятий'!AH44=1,0.9,1)*IF('Список мероприятий'!$AB$52=1,0.9572,1)</f>
        <v>#N/A</v>
      </c>
      <c r="J50" s="179" t="e">
        <f>IF('Список мероприятий'!$D$33=списки!$N$46,'Система электроснабжения'!J49,'Система электроснабжения'!J47)*IF('Список мероприятий'!AI44=1,0.9,1)*IF('Список мероприятий'!$AB$52=1,0.9572,1)</f>
        <v>#N/A</v>
      </c>
      <c r="K50" s="179" t="e">
        <f>IF('Список мероприятий'!$D$33=списки!$N$46,'Система электроснабжения'!K49,'Система электроснабжения'!K47)*IF('Список мероприятий'!AJ44=1,0.9,1)*IF('Список мероприятий'!$AB$52=1,0.9572,1)</f>
        <v>#N/A</v>
      </c>
      <c r="L50" s="179" t="e">
        <f>IF('Список мероприятий'!$D$33=списки!$N$46,'Система электроснабжения'!L49,'Система электроснабжения'!L47)*IF('Список мероприятий'!AK44=1,0.9,1)*IF('Список мероприятий'!$AB$52=1,0.9572,1)</f>
        <v>#N/A</v>
      </c>
      <c r="M50" s="179" t="e">
        <f>IF('Список мероприятий'!$D$33=списки!$N$46,'Система электроснабжения'!M49,'Система электроснабжения'!M47)*IF('Список мероприятий'!AL44=1,0.9,1)*IF('Список мероприятий'!$AB$52=1,0.9572,1)</f>
        <v>#N/A</v>
      </c>
      <c r="N50" s="179" t="e">
        <f>IF('Список мероприятий'!$D$33=списки!$N$46,'Система электроснабжения'!N49,'Система электроснабжения'!N47)*IF('Список мероприятий'!AM44=1,0.9,1)*IF('Список мероприятий'!$AB$52=1,0.9572,1)</f>
        <v>#N/A</v>
      </c>
      <c r="O50" s="179" t="e">
        <f>IF('Список мероприятий'!$D$33=списки!$N$46,'Система электроснабжения'!O49,'Система электроснабжения'!O47)*IF('Список мероприятий'!AN44=1,0.9,1)*IF('Список мероприятий'!$AB$52=1,0.9572,1)</f>
        <v>#N/A</v>
      </c>
      <c r="P50" s="179" t="e">
        <f>IF('Список мероприятий'!$D$33=списки!$N$46,'Система электроснабжения'!P49,'Система электроснабжения'!P47)*IF('Список мероприятий'!AO44=1,0.9,1)*IF('Список мероприятий'!$AB$52=1,0.9572,1)</f>
        <v>#N/A</v>
      </c>
      <c r="Q50" s="112"/>
    </row>
    <row r="51" spans="1:17" ht="15" customHeight="1" x14ac:dyDescent="0.25">
      <c r="A51" s="139" t="s">
        <v>884</v>
      </c>
      <c r="B51" s="176"/>
      <c r="C51" s="179" t="e">
        <f>IF('Список мероприятий'!$D$33=списки!$N$46,'Система электроснабжения'!C50,'Система электроснабжения'!C48)*IF('Список мероприятий'!AB44=1,0.9,1)*IF('Список мероприятий'!$AB$52=1,0.9572,1)</f>
        <v>#N/A</v>
      </c>
      <c r="D51" s="178"/>
      <c r="E51" s="179" t="e">
        <f>IF('Список мероприятий'!$D$33=списки!$N$46,'Система электроснабжения'!E50,'Система электроснабжения'!E48)*IF('Список мероприятий'!AD44=1,0.9,1)*IF('Список мероприятий'!$AB$52=1,0.9572,1)</f>
        <v>#N/A</v>
      </c>
      <c r="F51" s="179" t="e">
        <f>IF('Список мероприятий'!$D$33=списки!$N$46,'Система электроснабжения'!F50,'Система электроснабжения'!F48)*IF('Список мероприятий'!AE44=1,0.9,1)*IF('Список мероприятий'!$AB$52=1,0.9572,1)</f>
        <v>#N/A</v>
      </c>
      <c r="K51" s="107"/>
    </row>
    <row r="52" spans="1:17" ht="34.5" customHeight="1" x14ac:dyDescent="0.25">
      <c r="A52" s="165" t="s">
        <v>1468</v>
      </c>
      <c r="B52" s="144"/>
      <c r="C52" s="144"/>
      <c r="D52" s="145"/>
      <c r="G52" s="180" t="e">
        <f>G55*'Система электроснабжения'!$C$55</f>
        <v>#N/A</v>
      </c>
      <c r="H52" s="180" t="e">
        <f>H55*'Система электроснабжения'!$C$55</f>
        <v>#N/A</v>
      </c>
      <c r="I52" s="180" t="e">
        <f>I55*'Система электроснабжения'!$C$55</f>
        <v>#N/A</v>
      </c>
      <c r="J52" s="180" t="e">
        <f>J55*'Система электроснабжения'!$C$55</f>
        <v>#N/A</v>
      </c>
      <c r="K52" s="180" t="e">
        <f>K55*'Система электроснабжения'!$C$55</f>
        <v>#N/A</v>
      </c>
      <c r="L52" s="180" t="e">
        <f>L55*'Система электроснабжения'!$C$55</f>
        <v>#N/A</v>
      </c>
      <c r="M52" s="180" t="e">
        <f>M55*'Система электроснабжения'!$C$55</f>
        <v>#N/A</v>
      </c>
      <c r="N52" s="180" t="e">
        <f>N55*'Система электроснабжения'!$C$55</f>
        <v>#N/A</v>
      </c>
      <c r="O52" s="180" t="e">
        <f>O55*'Система электроснабжения'!$C$55</f>
        <v>#N/A</v>
      </c>
      <c r="P52" s="180" t="e">
        <f>P55*'Система электроснабжения'!$C$55</f>
        <v>#N/A</v>
      </c>
    </row>
    <row r="53" spans="1:17" s="184" customFormat="1" ht="19.5" customHeight="1" x14ac:dyDescent="0.25">
      <c r="A53" s="181" t="s">
        <v>1356</v>
      </c>
      <c r="B53" s="182" t="s">
        <v>885</v>
      </c>
      <c r="C53" s="180" t="e">
        <f>'Расчет базового уровня'!D171*'Система электроснабжения'!$C$55</f>
        <v>#N/A</v>
      </c>
      <c r="D53" s="108"/>
      <c r="E53" s="180" t="e">
        <f>E56*'Система электроснабжения'!$C$55</f>
        <v>#N/A</v>
      </c>
      <c r="F53" s="180" t="e">
        <f>F56*'Система электроснабжения'!$C$55</f>
        <v>#N/A</v>
      </c>
      <c r="G53" s="183" t="e">
        <f>G56*'Система электроснабжения'!$C$55</f>
        <v>#N/A</v>
      </c>
      <c r="H53" s="183" t="e">
        <f>H56*'Система электроснабжения'!$C$55</f>
        <v>#N/A</v>
      </c>
      <c r="I53" s="183" t="e">
        <f>I56*'Система электроснабжения'!$C$55</f>
        <v>#N/A</v>
      </c>
      <c r="J53" s="183" t="e">
        <f>J56*'Система электроснабжения'!$C$55</f>
        <v>#N/A</v>
      </c>
      <c r="K53" s="183" t="e">
        <f>K56*'Система электроснабжения'!$C$55</f>
        <v>#N/A</v>
      </c>
      <c r="L53" s="183" t="e">
        <f>L56*'Система электроснабжения'!$C$55</f>
        <v>#N/A</v>
      </c>
      <c r="M53" s="183" t="e">
        <f>M56*'Система электроснабжения'!$C$55</f>
        <v>#N/A</v>
      </c>
      <c r="N53" s="183" t="e">
        <f>N56*'Система электроснабжения'!$C$55</f>
        <v>#N/A</v>
      </c>
      <c r="O53" s="183" t="e">
        <f>O56*'Система электроснабжения'!$C$55</f>
        <v>#N/A</v>
      </c>
      <c r="P53" s="183" t="e">
        <f>P56*'Система электроснабжения'!$C$55</f>
        <v>#N/A</v>
      </c>
    </row>
    <row r="54" spans="1:17" ht="30.75" customHeight="1" x14ac:dyDescent="0.25">
      <c r="A54" s="185" t="s">
        <v>893</v>
      </c>
      <c r="B54" s="186"/>
      <c r="C54" s="187" t="e">
        <f>C57*'Система электроснабжения'!C55</f>
        <v>#DIV/0!</v>
      </c>
      <c r="D54" s="188"/>
      <c r="E54" s="183" t="e">
        <f>E57*'Система электроснабжения'!$C$55</f>
        <v>#N/A</v>
      </c>
      <c r="F54" s="183" t="e">
        <f>F57*'Система электроснабжения'!$C$55</f>
        <v>#N/A</v>
      </c>
      <c r="K54" s="189"/>
      <c r="L54" s="190"/>
      <c r="M54" s="190"/>
      <c r="N54" s="190"/>
      <c r="O54" s="190"/>
      <c r="P54" s="190"/>
    </row>
    <row r="55" spans="1:17" ht="30.75" customHeight="1" x14ac:dyDescent="0.25">
      <c r="A55" s="185"/>
      <c r="B55" s="182"/>
      <c r="C55" s="191" t="e">
        <f>11.96*('Ввод исходных данных'!$D$21^(-0.181))</f>
        <v>#DIV/0!</v>
      </c>
      <c r="D55" s="108"/>
      <c r="E55" s="190"/>
      <c r="F55" s="190"/>
      <c r="G55" s="192" t="e">
        <f>'Расчет базового уровня'!I171</f>
        <v>#N/A</v>
      </c>
      <c r="H55" s="192" t="e">
        <f>'Расчет базового уровня'!J171</f>
        <v>#N/A</v>
      </c>
      <c r="I55" s="192" t="e">
        <f>'Расчет базового уровня'!K171</f>
        <v>#N/A</v>
      </c>
      <c r="J55" s="192" t="e">
        <f>'Расчет базового уровня'!L171</f>
        <v>#N/A</v>
      </c>
      <c r="K55" s="192" t="e">
        <f>'Расчет базового уровня'!M171</f>
        <v>#N/A</v>
      </c>
      <c r="L55" s="192" t="e">
        <f>'Расчет базового уровня'!N171</f>
        <v>#N/A</v>
      </c>
      <c r="M55" s="192" t="e">
        <f>'Расчет базового уровня'!O171</f>
        <v>#N/A</v>
      </c>
      <c r="N55" s="192" t="e">
        <f>'Расчет базового уровня'!P171</f>
        <v>#N/A</v>
      </c>
      <c r="O55" s="192" t="e">
        <f>'Расчет базового уровня'!Q171</f>
        <v>#N/A</v>
      </c>
      <c r="P55" s="192" t="e">
        <f>'Расчет базового уровня'!R171</f>
        <v>#N/A</v>
      </c>
    </row>
    <row r="56" spans="1:17" s="184" customFormat="1" ht="16.5" customHeight="1" x14ac:dyDescent="0.25">
      <c r="A56" s="193" t="s">
        <v>1469</v>
      </c>
      <c r="B56" s="182"/>
      <c r="C56" s="191"/>
      <c r="D56" s="108"/>
      <c r="E56" s="192" t="e">
        <f>'Расчет базового уровня'!G171</f>
        <v>#N/A</v>
      </c>
      <c r="F56" s="192" t="e">
        <f>'Расчет базового уровня'!H171</f>
        <v>#N/A</v>
      </c>
      <c r="G56" s="194" t="e">
        <f>'Расчет после реализации'!I169</f>
        <v>#N/A</v>
      </c>
      <c r="H56" s="194" t="e">
        <f>'Расчет после реализации'!J169</f>
        <v>#N/A</v>
      </c>
      <c r="I56" s="194" t="e">
        <f>'Расчет после реализации'!K169</f>
        <v>#N/A</v>
      </c>
      <c r="J56" s="194" t="e">
        <f>'Расчет после реализации'!L169</f>
        <v>#N/A</v>
      </c>
      <c r="K56" s="194" t="e">
        <f>'Расчет после реализации'!M169</f>
        <v>#N/A</v>
      </c>
      <c r="L56" s="194" t="e">
        <f>'Расчет после реализации'!N169</f>
        <v>#N/A</v>
      </c>
      <c r="M56" s="194" t="e">
        <f>'Расчет после реализации'!O169</f>
        <v>#N/A</v>
      </c>
      <c r="N56" s="194" t="e">
        <f>'Расчет после реализации'!P169</f>
        <v>#N/A</v>
      </c>
      <c r="O56" s="194" t="e">
        <f>'Расчет после реализации'!Q169</f>
        <v>#N/A</v>
      </c>
      <c r="P56" s="194" t="e">
        <f>'Расчет после реализации'!R169</f>
        <v>#N/A</v>
      </c>
    </row>
    <row r="57" spans="1:17" ht="24" customHeight="1" x14ac:dyDescent="0.25">
      <c r="A57" s="161" t="s">
        <v>886</v>
      </c>
      <c r="B57" s="186"/>
      <c r="C57" s="195">
        <f>'Расчет после реализации'!D169</f>
        <v>0</v>
      </c>
      <c r="D57" s="188"/>
      <c r="E57" s="194" t="e">
        <f>'Расчет после реализации'!G169</f>
        <v>#N/A</v>
      </c>
      <c r="F57" s="194" t="e">
        <f>'Расчет после реализации'!H169</f>
        <v>#N/A</v>
      </c>
    </row>
    <row r="58" spans="1:17" ht="36" x14ac:dyDescent="0.25">
      <c r="A58" s="185" t="s">
        <v>888</v>
      </c>
      <c r="B58" s="123"/>
      <c r="C58" s="196">
        <v>0.1</v>
      </c>
      <c r="D58" s="197" t="s">
        <v>887</v>
      </c>
      <c r="G58" s="156" t="e">
        <f t="shared" ref="G58:P58" si="2">G52*(1+$C$58)</f>
        <v>#N/A</v>
      </c>
      <c r="H58" s="156" t="e">
        <f t="shared" si="2"/>
        <v>#N/A</v>
      </c>
      <c r="I58" s="156" t="e">
        <f t="shared" si="2"/>
        <v>#N/A</v>
      </c>
      <c r="J58" s="156" t="e">
        <f t="shared" si="2"/>
        <v>#N/A</v>
      </c>
      <c r="K58" s="156" t="e">
        <f t="shared" si="2"/>
        <v>#N/A</v>
      </c>
      <c r="L58" s="156" t="e">
        <f t="shared" si="2"/>
        <v>#N/A</v>
      </c>
      <c r="M58" s="156" t="e">
        <f t="shared" si="2"/>
        <v>#N/A</v>
      </c>
      <c r="N58" s="156" t="e">
        <f t="shared" si="2"/>
        <v>#N/A</v>
      </c>
      <c r="O58" s="156" t="e">
        <f t="shared" si="2"/>
        <v>#N/A</v>
      </c>
      <c r="P58" s="156" t="e">
        <f t="shared" si="2"/>
        <v>#N/A</v>
      </c>
    </row>
    <row r="59" spans="1:17" s="184" customFormat="1" x14ac:dyDescent="0.25">
      <c r="A59" s="181" t="s">
        <v>1356</v>
      </c>
      <c r="B59" s="182" t="s">
        <v>885</v>
      </c>
      <c r="C59" s="156" t="e">
        <f>C53*(1+C$58)</f>
        <v>#N/A</v>
      </c>
      <c r="D59" s="108"/>
      <c r="E59" s="156" t="e">
        <f>E53*(1+$C$58)</f>
        <v>#N/A</v>
      </c>
      <c r="F59" s="156" t="e">
        <f>F53*(1+$C$58)</f>
        <v>#N/A</v>
      </c>
      <c r="G59" s="157" t="e">
        <f t="shared" ref="G59:P59" si="3">G53*(1+$C$58)</f>
        <v>#N/A</v>
      </c>
      <c r="H59" s="157" t="e">
        <f t="shared" si="3"/>
        <v>#N/A</v>
      </c>
      <c r="I59" s="157" t="e">
        <f t="shared" si="3"/>
        <v>#N/A</v>
      </c>
      <c r="J59" s="157" t="e">
        <f t="shared" si="3"/>
        <v>#N/A</v>
      </c>
      <c r="K59" s="157" t="e">
        <f t="shared" si="3"/>
        <v>#N/A</v>
      </c>
      <c r="L59" s="157" t="e">
        <f t="shared" si="3"/>
        <v>#N/A</v>
      </c>
      <c r="M59" s="157" t="e">
        <f t="shared" si="3"/>
        <v>#N/A</v>
      </c>
      <c r="N59" s="157" t="e">
        <f t="shared" si="3"/>
        <v>#N/A</v>
      </c>
      <c r="O59" s="157" t="e">
        <f t="shared" si="3"/>
        <v>#N/A</v>
      </c>
      <c r="P59" s="157" t="e">
        <f t="shared" si="3"/>
        <v>#N/A</v>
      </c>
    </row>
    <row r="60" spans="1:17" x14ac:dyDescent="0.25">
      <c r="A60" s="158" t="s">
        <v>878</v>
      </c>
      <c r="B60" s="186"/>
      <c r="C60" s="157" t="e">
        <f>C54*(1+C$58)</f>
        <v>#DIV/0!</v>
      </c>
      <c r="D60" s="188"/>
      <c r="E60" s="157" t="e">
        <f>E54*(1+$C$58)</f>
        <v>#N/A</v>
      </c>
      <c r="F60" s="157" t="e">
        <f>F54*(1+$C$58)</f>
        <v>#N/A</v>
      </c>
      <c r="K60" s="107"/>
    </row>
    <row r="61" spans="1:17" ht="48" x14ac:dyDescent="0.25">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408</v>
      </c>
      <c r="L61" s="107">
        <f>'Расчет базового уровня'!N170*24</f>
        <v>744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25">
      <c r="A62" s="161" t="s">
        <v>879</v>
      </c>
      <c r="B62" s="147" t="s">
        <v>564</v>
      </c>
      <c r="C62" s="148">
        <f>(365 -'Ввод исходных данных'!D109)*24</f>
        <v>8424</v>
      </c>
      <c r="D62" s="149" t="s">
        <v>890</v>
      </c>
      <c r="E62" s="107">
        <f>'Расчет базового уровня'!G170*24</f>
        <v>744</v>
      </c>
      <c r="F62" s="107">
        <f>'Расчет базового уровня'!H170*24</f>
        <v>672</v>
      </c>
      <c r="K62" s="107"/>
    </row>
    <row r="63" spans="1:17" ht="48" x14ac:dyDescent="0.25">
      <c r="A63" s="161" t="s">
        <v>597</v>
      </c>
      <c r="B63" s="123"/>
      <c r="C63" s="163">
        <v>0.7</v>
      </c>
      <c r="D63" s="164" t="s">
        <v>880</v>
      </c>
      <c r="K63" s="107"/>
    </row>
    <row r="64" spans="1:17" ht="27.95" customHeight="1" x14ac:dyDescent="0.25">
      <c r="A64" s="169" t="s">
        <v>891</v>
      </c>
      <c r="B64" s="123"/>
      <c r="C64" s="163">
        <f>1</f>
        <v>1</v>
      </c>
      <c r="D64" s="164" t="s">
        <v>881</v>
      </c>
      <c r="G64" s="198" t="e">
        <f>0.00272*G58*$C$61*G61/($C$63*$C$64)</f>
        <v>#N/A</v>
      </c>
      <c r="H64" s="198" t="e">
        <f>0.00272*H58*$C$61*H61/($C$63*$C$64)</f>
        <v>#N/A</v>
      </c>
      <c r="I64" s="198" t="e">
        <f>0.00272*I58*$C$61*I61/($C$63*$C$64)</f>
        <v>#N/A</v>
      </c>
      <c r="J64" s="198" t="e">
        <f>0.00272*J58*$C$61*J61/($C$63*$C$64)</f>
        <v>#N/A</v>
      </c>
      <c r="K64" s="198" t="e">
        <f>0.00272*K58*$C$61*K61/($C$63*$C$64)</f>
        <v>#N/A</v>
      </c>
      <c r="L64" s="198" t="e">
        <f t="shared" ref="L64:P64" si="4">0.00272*L58*$C$61*L61/($C$63*$C$64)</f>
        <v>#N/A</v>
      </c>
      <c r="M64" s="198" t="e">
        <f t="shared" si="4"/>
        <v>#N/A</v>
      </c>
      <c r="N64" s="198" t="e">
        <f t="shared" si="4"/>
        <v>#N/A</v>
      </c>
      <c r="O64" s="198" t="e">
        <f t="shared" si="4"/>
        <v>#N/A</v>
      </c>
      <c r="P64" s="198" t="e">
        <f t="shared" si="4"/>
        <v>#N/A</v>
      </c>
    </row>
    <row r="65" spans="1:16" s="184" customFormat="1" ht="27.95" customHeight="1" x14ac:dyDescent="0.25">
      <c r="A65" s="199" t="s">
        <v>1357</v>
      </c>
      <c r="B65" s="147" t="s">
        <v>842</v>
      </c>
      <c r="C65" s="198" t="e">
        <f>0.00272*C59*C61*C62/(C63*C64)</f>
        <v>#N/A</v>
      </c>
      <c r="D65" s="108"/>
      <c r="E65" s="198" t="e">
        <f>0.00272*E59*$C$61*E62/($C$63*$C$64)</f>
        <v>#N/A</v>
      </c>
      <c r="F65" s="198" t="e">
        <f>0.00272*F59*$C$61*F62/($C$63*$C$64)</f>
        <v>#N/A</v>
      </c>
      <c r="G65" s="200" t="e">
        <f>0.00272*G59*$C$61*G61/(C63*C64)*IF('Список мероприятий'!AB44=1,0.9,1)*IF('Список мероприятий'!AB52=1,0.9572,1)</f>
        <v>#N/A</v>
      </c>
      <c r="H65" s="200" t="e">
        <f>0.00272*H59*$C$61*H61/(C63*C64)*IF('Список мероприятий'!AB44=1,0.9,1)*IF('Список мероприятий'!AB52=1,0.9572,1)</f>
        <v>#N/A</v>
      </c>
      <c r="I65" s="200" t="e">
        <f>0.00272*I59*$C$61*I61/(C63*C64)*IF('Список мероприятий'!AB44=1,0.9,1)*IF('Список мероприятий'!AB52=1,0.9572,1)</f>
        <v>#N/A</v>
      </c>
      <c r="J65" s="200" t="e">
        <f>0.00272*J59*$C$61*J61/(C63*C64)*IF('Список мероприятий'!AB44=1,0.9,1)*IF('Список мероприятий'!AB52=1,0.9572,1)</f>
        <v>#N/A</v>
      </c>
      <c r="K65" s="200" t="e">
        <f>0.00272*K59*$C$61*K61/(C63*C64)*IF('Список мероприятий'!AB44=1,0.9,1)*IF('Список мероприятий'!AB52=1,0.9572,1)</f>
        <v>#N/A</v>
      </c>
      <c r="L65" s="200" t="e">
        <f>0.00272*L59*$C$61*L61/(C63*C64)*IF('Список мероприятий'!AB44=1,0.9,1)*IF('Список мероприятий'!AB52=1,0.9572,1)</f>
        <v>#N/A</v>
      </c>
      <c r="M65" s="200" t="e">
        <f>0.00272*M59*$C$61*M61/(C63*C64)*IF('Список мероприятий'!AB44=1,0.9,1)*IF('Список мероприятий'!AB52=1,0.9572,1)</f>
        <v>#N/A</v>
      </c>
      <c r="N65" s="200" t="e">
        <f>0.00272*N59*$C$61*N61/(C63*C64)*IF('Список мероприятий'!AB44=1,0.9,1)*IF('Список мероприятий'!AB52=1,0.9572,1)</f>
        <v>#N/A</v>
      </c>
      <c r="O65" s="200" t="e">
        <f>0.00272*O59*$C$61*O61/(C63*C64)*IF('Список мероприятий'!AB44=1,0.9,1)*IF('Список мероприятий'!AB52=1,0.9572,1)</f>
        <v>#N/A</v>
      </c>
      <c r="P65" s="200" t="e">
        <f>0.00272*P59*$C$61*P61/(C63*C64)*IF('Список мероприятий'!AB44=1,0.9,1)*IF('Список мероприятий'!AB52=1,0.9572,1)</f>
        <v>#N/A</v>
      </c>
    </row>
    <row r="66" spans="1:16" ht="27.95" customHeight="1" x14ac:dyDescent="0.25">
      <c r="A66" s="113" t="s">
        <v>974</v>
      </c>
      <c r="B66" s="201"/>
      <c r="C66" s="202" t="e">
        <f>0.00272*C60*C61*C62/(C63*C64)*IF('Список мероприятий'!AB44=1,0.9,1)*IF('Список мероприятий'!AB52=1,0.9572,1)</f>
        <v>#DIV/0!</v>
      </c>
      <c r="D66" s="203"/>
      <c r="E66" s="200" t="e">
        <f>0.00272*E60*$C$61*E62/(C63*C64)*IF('Список мероприятий'!AB44=1,0.9,1)*IF('Список мероприятий'!AB52=1,0.9572,1)</f>
        <v>#N/A</v>
      </c>
      <c r="F66" s="200" t="e">
        <f>0.00272*F60*$C$61*F62/(C63*C64)*IF('Список мероприятий'!AB44=1,0.9,1)*IF('Список мероприятий'!AB52=1,0.9572,1)</f>
        <v>#N/A</v>
      </c>
      <c r="G66" s="113"/>
    </row>
    <row r="67" spans="1:16" x14ac:dyDescent="0.25">
      <c r="A67" s="103" t="s">
        <v>892</v>
      </c>
      <c r="B67" s="113"/>
      <c r="C67" s="113"/>
      <c r="D67" s="113"/>
      <c r="E67" s="113"/>
      <c r="F67" s="113"/>
    </row>
    <row r="68" spans="1:16" x14ac:dyDescent="0.25">
      <c r="A68" s="1874" t="s">
        <v>834</v>
      </c>
      <c r="B68" s="104"/>
      <c r="C68" s="105"/>
      <c r="D68" s="106"/>
      <c r="E68" s="107"/>
      <c r="G68" s="142"/>
    </row>
    <row r="69" spans="1:16" x14ac:dyDescent="0.25">
      <c r="A69" s="1874"/>
      <c r="B69" s="1874" t="s">
        <v>835</v>
      </c>
      <c r="C69" s="142" t="s">
        <v>754</v>
      </c>
      <c r="D69" s="142"/>
      <c r="E69" s="142"/>
      <c r="F69" s="142"/>
      <c r="G69" s="204" t="s">
        <v>840</v>
      </c>
    </row>
    <row r="70" spans="1:16" ht="51" x14ac:dyDescent="0.25">
      <c r="A70" s="205" t="s">
        <v>841</v>
      </c>
      <c r="B70" s="1874"/>
      <c r="C70" s="206" t="s">
        <v>836</v>
      </c>
      <c r="D70" s="207" t="s">
        <v>837</v>
      </c>
      <c r="E70" s="207" t="s">
        <v>838</v>
      </c>
      <c r="F70" s="207" t="s">
        <v>839</v>
      </c>
      <c r="G70" s="95">
        <f>10.9</f>
        <v>10.9</v>
      </c>
    </row>
    <row r="71" spans="1:16" ht="15" customHeight="1" x14ac:dyDescent="0.25">
      <c r="A71" s="208" t="s">
        <v>843</v>
      </c>
      <c r="B71" s="209" t="s">
        <v>842</v>
      </c>
      <c r="C71" s="210">
        <f>8</f>
        <v>8</v>
      </c>
      <c r="D71" s="196">
        <f>8.5</f>
        <v>8.5</v>
      </c>
      <c r="E71" s="95">
        <f>9.3</f>
        <v>9.3000000000000007</v>
      </c>
      <c r="F71" s="95">
        <f>10</f>
        <v>10</v>
      </c>
      <c r="G71" s="208"/>
    </row>
    <row r="72" spans="1:16" x14ac:dyDescent="0.25">
      <c r="A72" s="103"/>
      <c r="B72" s="208"/>
      <c r="C72" s="208"/>
      <c r="D72" s="208"/>
      <c r="E72" s="208"/>
      <c r="F72" s="208"/>
    </row>
    <row r="73" spans="1:16" x14ac:dyDescent="0.25">
      <c r="B73" s="104"/>
      <c r="C73" s="105"/>
      <c r="D73" s="106"/>
      <c r="E73" s="107"/>
    </row>
    <row r="75" spans="1:16" ht="15.75" thickBot="1" x14ac:dyDescent="0.3">
      <c r="D75" s="88">
        <f>(1/0.77^2-1/0.96^2)/(1/0.77^2)*0.12</f>
        <v>4.2799479166666668E-2</v>
      </c>
    </row>
    <row r="76" spans="1:16" ht="108.75" customHeight="1" thickBot="1" x14ac:dyDescent="0.3">
      <c r="A76" s="211" t="s">
        <v>565</v>
      </c>
      <c r="D76" s="88">
        <f>1-D75</f>
        <v>0.95720052083333329</v>
      </c>
    </row>
    <row r="77" spans="1:16" ht="82.5" thickBot="1" x14ac:dyDescent="0.3">
      <c r="A77" s="212" t="s">
        <v>568</v>
      </c>
      <c r="B77" s="211" t="s">
        <v>566</v>
      </c>
      <c r="C77" s="213" t="s">
        <v>567</v>
      </c>
    </row>
    <row r="78" spans="1:16" ht="16.5" thickBot="1" x14ac:dyDescent="0.3">
      <c r="A78" s="212" t="s">
        <v>569</v>
      </c>
      <c r="B78" s="214">
        <v>50</v>
      </c>
      <c r="C78" s="215">
        <v>6</v>
      </c>
    </row>
    <row r="79" spans="1:16" ht="16.5" thickBot="1" x14ac:dyDescent="0.3">
      <c r="A79" s="212" t="s">
        <v>570</v>
      </c>
      <c r="B79" s="214">
        <v>20</v>
      </c>
      <c r="C79" s="215">
        <v>4</v>
      </c>
    </row>
    <row r="80" spans="1:16" ht="16.5" thickBot="1" x14ac:dyDescent="0.3">
      <c r="B80" s="214">
        <v>20</v>
      </c>
      <c r="C80" s="215">
        <v>4</v>
      </c>
    </row>
    <row r="82" spans="1:5" ht="15.75" x14ac:dyDescent="0.25">
      <c r="A82" s="216" t="s">
        <v>571</v>
      </c>
    </row>
    <row r="83" spans="1:5" ht="31.5" x14ac:dyDescent="0.25">
      <c r="A83" s="217" t="s">
        <v>575</v>
      </c>
      <c r="B83" s="216" t="s">
        <v>572</v>
      </c>
      <c r="C83" s="216" t="s">
        <v>573</v>
      </c>
      <c r="D83" s="216" t="s">
        <v>574</v>
      </c>
    </row>
    <row r="84" spans="1:5" ht="15.75" x14ac:dyDescent="0.25">
      <c r="A84" s="217" t="s">
        <v>576</v>
      </c>
      <c r="B84" s="216"/>
      <c r="C84" s="216"/>
    </row>
    <row r="85" spans="1:5" ht="31.5" x14ac:dyDescent="0.25">
      <c r="A85" s="218"/>
      <c r="B85" s="217" t="s">
        <v>577</v>
      </c>
      <c r="C85" s="216" t="s">
        <v>579</v>
      </c>
      <c r="D85" s="88">
        <v>2920</v>
      </c>
      <c r="E85" s="88">
        <v>120</v>
      </c>
    </row>
    <row r="86" spans="1:5" ht="63" x14ac:dyDescent="0.25">
      <c r="A86" s="218"/>
      <c r="B86" s="217" t="s">
        <v>578</v>
      </c>
      <c r="C86" s="216" t="s">
        <v>579</v>
      </c>
      <c r="D86" s="88">
        <v>4380</v>
      </c>
      <c r="E86" s="88">
        <v>360</v>
      </c>
    </row>
    <row r="87" spans="1:5" ht="15.75" x14ac:dyDescent="0.25">
      <c r="A87" s="1868" t="s">
        <v>580</v>
      </c>
      <c r="B87" s="218"/>
      <c r="C87" s="216" t="s">
        <v>579</v>
      </c>
      <c r="D87" s="88">
        <v>2920</v>
      </c>
      <c r="E87" s="88">
        <v>120</v>
      </c>
    </row>
    <row r="88" spans="1:5" ht="47.25" x14ac:dyDescent="0.25">
      <c r="A88" s="1869"/>
      <c r="B88" s="217" t="s">
        <v>581</v>
      </c>
      <c r="C88" s="216" t="s">
        <v>579</v>
      </c>
      <c r="D88" s="88">
        <v>8760</v>
      </c>
      <c r="E88" s="88">
        <v>240</v>
      </c>
    </row>
    <row r="89" spans="1:5" ht="15.75" x14ac:dyDescent="0.25">
      <c r="A89" s="1869"/>
      <c r="B89" s="217" t="s">
        <v>582</v>
      </c>
      <c r="C89" s="216"/>
    </row>
    <row r="90" spans="1:5" ht="31.5" x14ac:dyDescent="0.25">
      <c r="A90" s="1869"/>
      <c r="B90" s="217" t="s">
        <v>583</v>
      </c>
      <c r="C90" s="216" t="s">
        <v>579</v>
      </c>
      <c r="D90" s="88">
        <v>300</v>
      </c>
    </row>
    <row r="91" spans="1:5" ht="47.25" x14ac:dyDescent="0.25">
      <c r="A91" s="1870"/>
      <c r="B91" s="219" t="s">
        <v>584</v>
      </c>
      <c r="C91" s="216" t="s">
        <v>579</v>
      </c>
      <c r="D91" s="88">
        <v>100</v>
      </c>
    </row>
    <row r="92" spans="1:5" ht="15.75" x14ac:dyDescent="0.25">
      <c r="A92" s="217" t="s">
        <v>585</v>
      </c>
      <c r="B92" s="218"/>
      <c r="C92" s="216" t="s">
        <v>579</v>
      </c>
      <c r="D92" s="88">
        <v>40</v>
      </c>
    </row>
    <row r="93" spans="1:5" ht="15.75" x14ac:dyDescent="0.25">
      <c r="B93" s="216" t="s">
        <v>586</v>
      </c>
      <c r="C93" s="216" t="s">
        <v>586</v>
      </c>
      <c r="D93" s="88">
        <v>2200</v>
      </c>
      <c r="E93" s="88">
        <v>1460</v>
      </c>
    </row>
    <row r="94" spans="1:5" ht="19.5" thickBot="1" x14ac:dyDescent="0.3">
      <c r="A94" s="220" t="s">
        <v>587</v>
      </c>
    </row>
    <row r="95" spans="1:5" ht="16.5" thickBot="1" x14ac:dyDescent="0.3">
      <c r="A95" s="213" t="s">
        <v>588</v>
      </c>
    </row>
    <row r="96" spans="1:5" ht="19.5" thickBot="1" x14ac:dyDescent="0.3">
      <c r="A96" s="221" t="s">
        <v>590</v>
      </c>
      <c r="B96" s="222" t="s">
        <v>589</v>
      </c>
    </row>
    <row r="97" spans="1:2" ht="16.5" thickBot="1" x14ac:dyDescent="0.3">
      <c r="A97" s="221" t="s">
        <v>591</v>
      </c>
      <c r="B97" s="223">
        <v>1</v>
      </c>
    </row>
    <row r="98" spans="1:2" ht="16.5" thickBot="1" x14ac:dyDescent="0.3">
      <c r="A98" s="221" t="s">
        <v>593</v>
      </c>
      <c r="B98" s="223" t="s">
        <v>592</v>
      </c>
    </row>
    <row r="99" spans="1:2" ht="16.5" thickBot="1" x14ac:dyDescent="0.3">
      <c r="A99" s="221" t="s">
        <v>595</v>
      </c>
      <c r="B99" s="223" t="s">
        <v>594</v>
      </c>
    </row>
    <row r="100" spans="1:2" ht="16.5" thickBot="1" x14ac:dyDescent="0.3">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RowHeight="15" x14ac:dyDescent="0.25"/>
  <cols>
    <col min="1" max="1" width="44" style="88" customWidth="1"/>
    <col min="2" max="2" width="21.7109375" style="88" customWidth="1"/>
    <col min="3" max="3" width="23.5703125" style="88" customWidth="1"/>
    <col min="4" max="4" width="9.140625" style="88"/>
    <col min="5" max="5" width="11.42578125" style="88" customWidth="1"/>
    <col min="6" max="7" width="9.140625" style="88"/>
    <col min="8" max="8" width="9.140625" style="238"/>
    <col min="9" max="9" width="46" style="88" customWidth="1"/>
    <col min="10" max="15" width="9.140625" style="88"/>
    <col min="16" max="16" width="9.140625" style="238"/>
    <col min="17" max="16384" width="9.140625" style="88"/>
  </cols>
  <sheetData>
    <row r="1" spans="1:59" ht="62.25" customHeight="1" x14ac:dyDescent="0.45">
      <c r="A1" s="1758" t="s">
        <v>1480</v>
      </c>
      <c r="B1" s="1758"/>
      <c r="C1" s="1758"/>
      <c r="D1" s="1758"/>
      <c r="E1" s="1758"/>
      <c r="F1" s="1758"/>
      <c r="G1" s="1758"/>
      <c r="H1" s="1758"/>
      <c r="I1" s="1758"/>
      <c r="J1" s="1758"/>
      <c r="K1" s="1758"/>
      <c r="L1" s="1758"/>
      <c r="M1" s="1758"/>
      <c r="N1" s="1758"/>
      <c r="O1" s="1758"/>
      <c r="P1" s="1758"/>
      <c r="Q1" s="1758"/>
      <c r="R1" s="1758"/>
      <c r="S1" s="1758"/>
      <c r="T1" s="1758"/>
      <c r="U1" s="1758"/>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25">
      <c r="H2" s="97"/>
      <c r="I2" s="97"/>
      <c r="J2" s="97"/>
      <c r="K2" s="97"/>
      <c r="L2" s="97"/>
      <c r="M2" s="97"/>
      <c r="N2" s="97"/>
      <c r="O2" s="97"/>
      <c r="P2" s="97"/>
      <c r="Q2" s="97"/>
    </row>
    <row r="3" spans="1:59" x14ac:dyDescent="0.25">
      <c r="A3" s="1880" t="s">
        <v>1481</v>
      </c>
      <c r="B3" s="1881" t="s">
        <v>919</v>
      </c>
      <c r="C3" s="1882" t="s">
        <v>1004</v>
      </c>
      <c r="D3" s="1882" t="s">
        <v>790</v>
      </c>
      <c r="F3" s="224">
        <v>1</v>
      </c>
      <c r="H3" s="97"/>
      <c r="I3" s="97"/>
      <c r="J3" s="97"/>
      <c r="K3" s="97"/>
      <c r="L3" s="97"/>
      <c r="M3" s="97"/>
      <c r="N3" s="97"/>
      <c r="O3" s="97"/>
      <c r="P3" s="97"/>
      <c r="Q3" s="97"/>
    </row>
    <row r="4" spans="1:59" x14ac:dyDescent="0.25">
      <c r="A4" s="1880"/>
      <c r="B4" s="1881"/>
      <c r="C4" s="1882"/>
      <c r="D4" s="1882"/>
      <c r="E4" s="225">
        <v>1</v>
      </c>
      <c r="F4" s="114" t="s">
        <v>732</v>
      </c>
      <c r="H4" s="225">
        <f>IF(F3=2,0,1)</f>
        <v>1</v>
      </c>
      <c r="J4" s="97"/>
      <c r="K4" s="97"/>
      <c r="L4" s="97"/>
      <c r="M4" s="97"/>
      <c r="N4" s="97"/>
      <c r="O4" s="97"/>
      <c r="P4" s="97"/>
      <c r="Q4" s="97"/>
    </row>
    <row r="5" spans="1:59" x14ac:dyDescent="0.25">
      <c r="A5" s="226" t="s">
        <v>820</v>
      </c>
      <c r="B5" s="227" t="s">
        <v>789</v>
      </c>
      <c r="C5" s="227">
        <f>195-D5</f>
        <v>110</v>
      </c>
      <c r="D5" s="95">
        <f>85</f>
        <v>85</v>
      </c>
      <c r="E5" s="224">
        <f>IF($E$4=1,1,0)</f>
        <v>1</v>
      </c>
      <c r="F5" s="228" t="s">
        <v>814</v>
      </c>
      <c r="H5" s="97"/>
      <c r="I5" s="97"/>
      <c r="J5" s="97"/>
      <c r="K5" s="97"/>
      <c r="L5" s="97"/>
      <c r="M5" s="97"/>
      <c r="N5" s="97"/>
      <c r="O5" s="97"/>
      <c r="P5" s="97"/>
      <c r="Q5" s="97"/>
    </row>
    <row r="6" spans="1:59" ht="25.5" x14ac:dyDescent="0.25">
      <c r="A6" s="226" t="s">
        <v>819</v>
      </c>
      <c r="B6" s="227" t="s">
        <v>789</v>
      </c>
      <c r="C6" s="227">
        <f>230-D6</f>
        <v>140</v>
      </c>
      <c r="D6" s="95">
        <f>90</f>
        <v>90</v>
      </c>
      <c r="E6" s="224">
        <f>IF($E$4=2,1,0)</f>
        <v>0</v>
      </c>
      <c r="F6" s="228" t="s">
        <v>815</v>
      </c>
      <c r="H6" s="97"/>
      <c r="I6" s="97"/>
      <c r="J6" s="97"/>
      <c r="K6" s="97"/>
      <c r="L6" s="97"/>
      <c r="M6" s="97"/>
      <c r="N6" s="97"/>
      <c r="O6" s="97"/>
      <c r="P6" s="97"/>
      <c r="Q6" s="97"/>
    </row>
    <row r="7" spans="1:59" ht="25.5" x14ac:dyDescent="0.25">
      <c r="A7" s="226" t="s">
        <v>818</v>
      </c>
      <c r="B7" s="227" t="s">
        <v>789</v>
      </c>
      <c r="C7" s="227">
        <f>250-D7</f>
        <v>145</v>
      </c>
      <c r="D7" s="95">
        <f>105</f>
        <v>105</v>
      </c>
      <c r="E7" s="224">
        <f>IF($E$4=3,1,0)</f>
        <v>0</v>
      </c>
      <c r="F7" s="228" t="s">
        <v>813</v>
      </c>
      <c r="H7" s="97"/>
      <c r="I7" s="97"/>
      <c r="J7" s="97"/>
      <c r="K7" s="97"/>
      <c r="L7" s="97"/>
      <c r="M7" s="97"/>
      <c r="N7" s="97"/>
      <c r="O7" s="97"/>
      <c r="P7" s="97"/>
      <c r="Q7" s="97"/>
    </row>
    <row r="8" spans="1:59" ht="25.5" x14ac:dyDescent="0.25">
      <c r="A8" s="229" t="s">
        <v>816</v>
      </c>
      <c r="B8" s="227" t="s">
        <v>789</v>
      </c>
      <c r="C8" s="227">
        <f>250-D8</f>
        <v>150</v>
      </c>
      <c r="D8" s="95">
        <f>100</f>
        <v>100</v>
      </c>
      <c r="E8" s="224">
        <f>IF($E$4=4,1,0)</f>
        <v>0</v>
      </c>
      <c r="F8" s="230" t="s">
        <v>812</v>
      </c>
      <c r="H8" s="97"/>
      <c r="I8" s="97"/>
      <c r="J8" s="97"/>
      <c r="K8" s="97"/>
      <c r="L8" s="97"/>
      <c r="M8" s="97"/>
      <c r="N8" s="97"/>
      <c r="O8" s="97"/>
      <c r="P8" s="97"/>
      <c r="Q8" s="97"/>
    </row>
    <row r="9" spans="1:59" ht="25.5" x14ac:dyDescent="0.25">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25">
      <c r="H10" s="97"/>
      <c r="I10" s="97"/>
      <c r="J10" s="231"/>
      <c r="K10" s="232"/>
      <c r="L10" s="233"/>
      <c r="M10" s="97"/>
      <c r="N10" s="97"/>
      <c r="O10" s="97"/>
      <c r="P10" s="97"/>
      <c r="Q10" s="97"/>
    </row>
    <row r="11" spans="1:59" x14ac:dyDescent="0.25">
      <c r="B11" s="234">
        <f>IF(F14=1,1,0)</f>
        <v>1</v>
      </c>
      <c r="C11" s="234">
        <f>IF(F14=0,1,0)</f>
        <v>0</v>
      </c>
      <c r="H11" s="97"/>
      <c r="I11" s="97"/>
      <c r="J11" s="97"/>
      <c r="K11" s="97"/>
      <c r="L11" s="97"/>
      <c r="M11" s="97"/>
      <c r="N11" s="97"/>
      <c r="O11" s="97"/>
      <c r="P11" s="97"/>
      <c r="Q11" s="97"/>
    </row>
    <row r="12" spans="1:59" ht="18" x14ac:dyDescent="0.35">
      <c r="A12" s="1882" t="s">
        <v>791</v>
      </c>
      <c r="B12" s="1883" t="s">
        <v>797</v>
      </c>
      <c r="C12" s="1883"/>
      <c r="E12" s="88">
        <f>SUMPRODUCT(D14:D17,B14:B17)*B11+SUMPRODUCT(D14:D17,C14:C17)*C11</f>
        <v>0.25</v>
      </c>
      <c r="H12" s="97"/>
      <c r="I12" s="97"/>
      <c r="J12" s="97"/>
      <c r="K12" s="97"/>
      <c r="L12" s="97"/>
      <c r="M12" s="97"/>
      <c r="N12" s="97"/>
      <c r="O12" s="97"/>
      <c r="P12" s="97"/>
      <c r="Q12" s="97"/>
    </row>
    <row r="13" spans="1:59" ht="87.6" customHeight="1" x14ac:dyDescent="0.25">
      <c r="A13" s="1882"/>
      <c r="B13" s="235" t="s">
        <v>796</v>
      </c>
      <c r="C13" s="235" t="s">
        <v>1482</v>
      </c>
      <c r="F13" s="224"/>
      <c r="G13" s="224">
        <f>IF(F20=1,1,IF(F21=1,2,0))</f>
        <v>1</v>
      </c>
      <c r="H13" s="97"/>
      <c r="I13" s="97"/>
      <c r="J13" s="97"/>
      <c r="K13" s="97"/>
      <c r="L13" s="97"/>
      <c r="M13" s="97"/>
      <c r="N13" s="97"/>
      <c r="O13" s="97"/>
      <c r="P13" s="97"/>
      <c r="Q13" s="97"/>
    </row>
    <row r="14" spans="1:59" ht="25.5" x14ac:dyDescent="0.25">
      <c r="A14" s="236" t="s">
        <v>792</v>
      </c>
      <c r="B14" s="237">
        <f>0.25</f>
        <v>0.25</v>
      </c>
      <c r="C14" s="237">
        <f>0.2</f>
        <v>0.2</v>
      </c>
      <c r="D14" s="88">
        <f>IF(AND($F$15=1,$F$16=1),1,0)</f>
        <v>0</v>
      </c>
      <c r="E14" s="88" t="s">
        <v>731</v>
      </c>
      <c r="F14" s="224">
        <f>IF(OR(G13=1),1,0)</f>
        <v>1</v>
      </c>
      <c r="G14" s="224" t="b">
        <v>1</v>
      </c>
    </row>
    <row r="15" spans="1:59" ht="25.5" x14ac:dyDescent="0.25">
      <c r="A15" s="236" t="s">
        <v>793</v>
      </c>
      <c r="B15" s="237">
        <f>0.15</f>
        <v>0.15</v>
      </c>
      <c r="C15" s="237">
        <f>0.1</f>
        <v>0.1</v>
      </c>
      <c r="D15" s="88">
        <f>IF(AND($F$15=1,$F$16=0),1,0)</f>
        <v>0</v>
      </c>
      <c r="E15" s="88" t="s">
        <v>729</v>
      </c>
      <c r="F15" s="224">
        <f t="shared" ref="F15:F17" si="0">IF(G15=TRUE,1,0)</f>
        <v>0</v>
      </c>
      <c r="G15" s="224" t="b">
        <v>0</v>
      </c>
    </row>
    <row r="16" spans="1:59" ht="25.5" x14ac:dyDescent="0.25">
      <c r="A16" s="236" t="s">
        <v>794</v>
      </c>
      <c r="B16" s="237">
        <v>0.35</v>
      </c>
      <c r="C16" s="237">
        <v>0.3</v>
      </c>
      <c r="D16" s="88">
        <f>IF(AND($F$15=0,$F$16=1),1,0)</f>
        <v>0</v>
      </c>
      <c r="E16" s="88" t="s">
        <v>730</v>
      </c>
      <c r="F16" s="224">
        <f t="shared" si="0"/>
        <v>0</v>
      </c>
      <c r="G16" s="224" t="b">
        <v>0</v>
      </c>
    </row>
    <row r="17" spans="1:11" ht="25.5" x14ac:dyDescent="0.25">
      <c r="A17" s="236" t="s">
        <v>795</v>
      </c>
      <c r="B17" s="237">
        <f>0.25</f>
        <v>0.25</v>
      </c>
      <c r="C17" s="237">
        <f>0.2</f>
        <v>0.2</v>
      </c>
      <c r="D17" s="88">
        <f>IF(AND($F$15=0,$F$16=0),1,0)</f>
        <v>1</v>
      </c>
      <c r="E17" s="88" t="s">
        <v>1389</v>
      </c>
      <c r="F17" s="224">
        <f t="shared" si="0"/>
        <v>0</v>
      </c>
      <c r="G17" s="224" t="b">
        <v>0</v>
      </c>
    </row>
    <row r="18" spans="1:11" x14ac:dyDescent="0.25">
      <c r="F18" s="224"/>
      <c r="G18" s="224">
        <v>2</v>
      </c>
    </row>
    <row r="19" spans="1:11" x14ac:dyDescent="0.25">
      <c r="E19" s="88" t="s">
        <v>1390</v>
      </c>
      <c r="F19" s="224">
        <f>IF($G$18=1,1,0)</f>
        <v>0</v>
      </c>
      <c r="G19" s="224"/>
    </row>
    <row r="20" spans="1:11" x14ac:dyDescent="0.25">
      <c r="E20" s="88" t="s">
        <v>1575</v>
      </c>
      <c r="F20" s="224">
        <f>IF($G$18=2,1,0)</f>
        <v>1</v>
      </c>
      <c r="G20" s="224"/>
    </row>
    <row r="21" spans="1:11" x14ac:dyDescent="0.25">
      <c r="E21" s="88" t="s">
        <v>1576</v>
      </c>
      <c r="F21" s="224">
        <f>IF($G$18=3,1,0)</f>
        <v>0</v>
      </c>
      <c r="G21" s="224"/>
    </row>
    <row r="30" spans="1:11" ht="15.75" thickBot="1" x14ac:dyDescent="0.3"/>
    <row r="31" spans="1:11" ht="16.5" thickBot="1" x14ac:dyDescent="0.3">
      <c r="A31" s="239" t="s">
        <v>728</v>
      </c>
      <c r="B31" s="1878" t="s">
        <v>554</v>
      </c>
      <c r="C31" s="1879"/>
      <c r="I31" s="240" t="s">
        <v>920</v>
      </c>
    </row>
    <row r="32" spans="1:11" ht="63.75" thickBot="1" x14ac:dyDescent="0.3">
      <c r="A32" s="241"/>
      <c r="B32" s="242" t="s">
        <v>555</v>
      </c>
      <c r="C32" s="243" t="s">
        <v>556</v>
      </c>
      <c r="I32" s="1875" t="s">
        <v>1483</v>
      </c>
      <c r="J32" s="1875"/>
      <c r="K32" s="1875"/>
    </row>
    <row r="33" spans="1:15" ht="32.25" thickBot="1" x14ac:dyDescent="0.3">
      <c r="A33" s="244" t="s">
        <v>557</v>
      </c>
      <c r="B33" s="242">
        <v>0.15</v>
      </c>
      <c r="C33" s="242">
        <v>0.1</v>
      </c>
      <c r="D33" s="242">
        <f>IF((G15=TRUE)*AND(G16=FALSE)*AND(G14=TRUE),1,0)</f>
        <v>0</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5" thickBot="1" x14ac:dyDescent="0.3">
      <c r="A34" s="246" t="s">
        <v>495</v>
      </c>
      <c r="B34" s="246">
        <v>0.25</v>
      </c>
      <c r="C34" s="246">
        <v>0.2</v>
      </c>
      <c r="D34" s="246">
        <f>IF((G15=TRUE)*AND(G16=TRUE)*AND(G14=TRUE),1,0)</f>
        <v>0</v>
      </c>
      <c r="E34" s="246">
        <f>IF((G15=TRUE)*AND(G16=TRUE)*AND(G14=FALSE),1,0)</f>
        <v>0</v>
      </c>
      <c r="I34" s="247" t="s">
        <v>1484</v>
      </c>
      <c r="J34" s="1876"/>
      <c r="K34" s="1877"/>
    </row>
    <row r="35" spans="1:15" ht="32.25" thickBot="1" x14ac:dyDescent="0.3">
      <c r="A35" s="244" t="s">
        <v>558</v>
      </c>
      <c r="B35" s="242">
        <v>0.35</v>
      </c>
      <c r="C35" s="242">
        <v>0.3</v>
      </c>
      <c r="D35" s="242">
        <f>IF((G15=FALSE)*AND(G16=TRUE)*AND(G14=TRUE),1,0)</f>
        <v>0</v>
      </c>
      <c r="E35" s="242">
        <f>IF((G15=FALSE)*AND(G16=TRUE)*AND(G14=FALSE),1,0)</f>
        <v>0</v>
      </c>
      <c r="I35" s="248"/>
      <c r="J35" s="249" t="s">
        <v>598</v>
      </c>
      <c r="K35" s="249" t="s">
        <v>599</v>
      </c>
    </row>
    <row r="36" spans="1:15" ht="15.75" thickBot="1" x14ac:dyDescent="0.3">
      <c r="I36" s="250" t="s">
        <v>600</v>
      </c>
      <c r="J36" s="251">
        <v>40</v>
      </c>
      <c r="K36" s="251">
        <v>45</v>
      </c>
      <c r="N36" s="224"/>
    </row>
    <row r="37" spans="1:15" ht="15.75" thickBot="1" x14ac:dyDescent="0.3">
      <c r="I37" s="250" t="s">
        <v>601</v>
      </c>
      <c r="J37" s="251">
        <v>48</v>
      </c>
      <c r="K37" s="251">
        <v>55</v>
      </c>
      <c r="M37" s="108"/>
      <c r="N37" s="252">
        <v>1</v>
      </c>
      <c r="O37" s="252"/>
    </row>
    <row r="38" spans="1:15" ht="43.5" thickBot="1" x14ac:dyDescent="0.3">
      <c r="I38" s="250" t="s">
        <v>602</v>
      </c>
      <c r="J38" s="251">
        <v>60</v>
      </c>
      <c r="K38" s="251">
        <v>70</v>
      </c>
      <c r="L38" s="88">
        <f>IF((N38=0)*AND(N39=1),1,0)</f>
        <v>0</v>
      </c>
      <c r="M38" s="108" t="s">
        <v>732</v>
      </c>
      <c r="N38" s="252">
        <f>IF(N37=1,1,0)</f>
        <v>1</v>
      </c>
      <c r="O38" s="252"/>
    </row>
    <row r="39" spans="1:15" ht="15.75" thickBot="1" x14ac:dyDescent="0.3">
      <c r="I39" s="250" t="s">
        <v>603</v>
      </c>
      <c r="J39" s="251">
        <v>85</v>
      </c>
      <c r="K39" s="251">
        <v>95</v>
      </c>
      <c r="L39" s="88">
        <f>IF((N38=0)*AND(N41=0)*AND(N40=1),1,0)</f>
        <v>0</v>
      </c>
      <c r="M39" s="108" t="s">
        <v>733</v>
      </c>
      <c r="N39" s="252">
        <f>IF(N37=2,1,0)</f>
        <v>0</v>
      </c>
      <c r="O39" s="252"/>
    </row>
    <row r="40" spans="1:15" ht="29.25" thickBot="1" x14ac:dyDescent="0.3">
      <c r="I40" s="250" t="s">
        <v>604</v>
      </c>
      <c r="J40" s="251">
        <v>95</v>
      </c>
      <c r="K40" s="251">
        <v>105</v>
      </c>
      <c r="L40" s="88">
        <f>IF((N38=1)*AND(N41=0),1,0)</f>
        <v>0</v>
      </c>
      <c r="M40" s="108" t="s">
        <v>734</v>
      </c>
      <c r="N40" s="252">
        <f>IF(N37=3,1,0)</f>
        <v>0</v>
      </c>
      <c r="O40" s="252"/>
    </row>
    <row r="41" spans="1:15" ht="29.25" thickBot="1" x14ac:dyDescent="0.3">
      <c r="I41" s="250" t="s">
        <v>605</v>
      </c>
      <c r="J41" s="251">
        <v>100</v>
      </c>
      <c r="K41" s="251">
        <v>115</v>
      </c>
      <c r="L41" s="88">
        <f>IF((N38=1)*AND(N41=1),1,0)</f>
        <v>1</v>
      </c>
      <c r="M41" s="108" t="s">
        <v>735</v>
      </c>
      <c r="N41" s="252">
        <f>IF(O41=TRUE,1,0)</f>
        <v>1</v>
      </c>
      <c r="O41" s="252" t="b">
        <v>1</v>
      </c>
    </row>
    <row r="43" spans="1:15" ht="15.75" thickBot="1" x14ac:dyDescent="0.3">
      <c r="A43" s="253" t="s">
        <v>736</v>
      </c>
      <c r="B43" s="253"/>
    </row>
    <row r="44" spans="1:15" ht="35.25" thickBot="1" x14ac:dyDescent="0.3">
      <c r="A44" s="213" t="s">
        <v>549</v>
      </c>
      <c r="B44" s="222" t="s">
        <v>550</v>
      </c>
    </row>
    <row r="45" spans="1:15" ht="16.5" thickBot="1" x14ac:dyDescent="0.3">
      <c r="A45" s="254">
        <v>150</v>
      </c>
      <c r="B45" s="223">
        <v>5.15</v>
      </c>
    </row>
    <row r="46" spans="1:15" ht="16.5" thickBot="1" x14ac:dyDescent="0.3">
      <c r="A46" s="254">
        <v>250</v>
      </c>
      <c r="B46" s="223">
        <v>4.5</v>
      </c>
    </row>
    <row r="47" spans="1:15" ht="16.5" thickBot="1" x14ac:dyDescent="0.3">
      <c r="A47" s="254">
        <v>350</v>
      </c>
      <c r="B47" s="223">
        <v>4.0999999999999996</v>
      </c>
    </row>
    <row r="48" spans="1:15" ht="16.5" thickBot="1" x14ac:dyDescent="0.3">
      <c r="A48" s="254">
        <v>500</v>
      </c>
      <c r="B48" s="223">
        <v>3.75</v>
      </c>
    </row>
    <row r="49" spans="1:2" ht="16.5" thickBot="1" x14ac:dyDescent="0.3">
      <c r="A49" s="254">
        <v>700</v>
      </c>
      <c r="B49" s="223">
        <v>3.5</v>
      </c>
    </row>
    <row r="50" spans="1:2" ht="16.5" thickBot="1" x14ac:dyDescent="0.3">
      <c r="A50" s="255">
        <v>1000</v>
      </c>
      <c r="B50" s="223">
        <v>3.27</v>
      </c>
    </row>
    <row r="51" spans="1:2" ht="16.5" thickBot="1" x14ac:dyDescent="0.3">
      <c r="A51" s="255">
        <v>1500</v>
      </c>
      <c r="B51" s="223">
        <v>3.09</v>
      </c>
    </row>
    <row r="52" spans="1:2" ht="16.5" thickBot="1" x14ac:dyDescent="0.3">
      <c r="A52" s="255">
        <v>2000</v>
      </c>
      <c r="B52" s="223">
        <v>2.97</v>
      </c>
    </row>
    <row r="53" spans="1:2" ht="16.5" thickBot="1" x14ac:dyDescent="0.3">
      <c r="A53" s="255">
        <v>3000</v>
      </c>
      <c r="B53" s="223">
        <v>2.85</v>
      </c>
    </row>
    <row r="54" spans="1:2" ht="16.5" thickBot="1" x14ac:dyDescent="0.3">
      <c r="A54" s="255">
        <v>5000</v>
      </c>
      <c r="B54" s="223">
        <v>2.74</v>
      </c>
    </row>
    <row r="59" spans="1:2" x14ac:dyDescent="0.25">
      <c r="A59" s="256">
        <v>150</v>
      </c>
      <c r="B59" s="110">
        <v>5.15</v>
      </c>
    </row>
    <row r="60" spans="1:2" x14ac:dyDescent="0.25">
      <c r="A60" s="256">
        <v>250</v>
      </c>
      <c r="B60" s="256">
        <v>4.5</v>
      </c>
    </row>
    <row r="61" spans="1:2" x14ac:dyDescent="0.25">
      <c r="A61" s="256">
        <v>350</v>
      </c>
      <c r="B61" s="256">
        <v>4.0999999999999996</v>
      </c>
    </row>
    <row r="62" spans="1:2" x14ac:dyDescent="0.25">
      <c r="A62" s="256">
        <v>500</v>
      </c>
      <c r="B62" s="256">
        <v>3.75</v>
      </c>
    </row>
    <row r="63" spans="1:2" x14ac:dyDescent="0.25">
      <c r="A63" s="256">
        <v>700</v>
      </c>
      <c r="B63" s="256">
        <v>3.5</v>
      </c>
    </row>
    <row r="64" spans="1:2" x14ac:dyDescent="0.25">
      <c r="A64" s="256">
        <v>1000</v>
      </c>
      <c r="B64" s="256">
        <v>3.27</v>
      </c>
    </row>
    <row r="65" spans="1:2" x14ac:dyDescent="0.25">
      <c r="A65" s="256">
        <v>1500</v>
      </c>
      <c r="B65" s="256">
        <v>3.09</v>
      </c>
    </row>
    <row r="66" spans="1:2" x14ac:dyDescent="0.25">
      <c r="A66" s="256">
        <v>2000</v>
      </c>
      <c r="B66" s="256">
        <v>2.97</v>
      </c>
    </row>
    <row r="67" spans="1:2" x14ac:dyDescent="0.25">
      <c r="A67" s="256">
        <v>2500</v>
      </c>
      <c r="B67" s="256">
        <v>2.9</v>
      </c>
    </row>
    <row r="68" spans="1:2" x14ac:dyDescent="0.25">
      <c r="A68" s="256">
        <v>3000</v>
      </c>
      <c r="B68" s="256">
        <v>2.85</v>
      </c>
    </row>
    <row r="69" spans="1:2" x14ac:dyDescent="0.25">
      <c r="A69" s="256">
        <v>4000</v>
      </c>
      <c r="B69" s="256">
        <v>2.78</v>
      </c>
    </row>
    <row r="70" spans="1:2" x14ac:dyDescent="0.25">
      <c r="A70" s="256">
        <v>5000</v>
      </c>
      <c r="B70" s="256">
        <v>2.74</v>
      </c>
    </row>
    <row r="71" spans="1:2" x14ac:dyDescent="0.25">
      <c r="A71" s="256">
        <v>6000</v>
      </c>
      <c r="B71" s="256">
        <v>2.7</v>
      </c>
    </row>
    <row r="72" spans="1:2" x14ac:dyDescent="0.25">
      <c r="A72" s="256">
        <v>7500</v>
      </c>
      <c r="B72" s="256">
        <v>2.65</v>
      </c>
    </row>
    <row r="73" spans="1:2" x14ac:dyDescent="0.25">
      <c r="A73" s="256">
        <v>10000</v>
      </c>
      <c r="B73" s="256">
        <v>2.6</v>
      </c>
    </row>
    <row r="74" spans="1:2" x14ac:dyDescent="0.25">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28515625" defaultRowHeight="15" x14ac:dyDescent="0.25"/>
  <cols>
    <col min="1" max="1" width="3.28515625" style="88"/>
    <col min="2" max="45" width="0" style="88" hidden="1" customWidth="1"/>
    <col min="46" max="16384" width="3.28515625" style="88"/>
  </cols>
  <sheetData>
    <row r="1" spans="2:44" x14ac:dyDescent="0.25">
      <c r="B1" s="88" t="s">
        <v>447</v>
      </c>
      <c r="D1" s="88" t="s">
        <v>442</v>
      </c>
      <c r="F1" s="88" t="s">
        <v>459</v>
      </c>
      <c r="N1" s="88" t="s">
        <v>465</v>
      </c>
    </row>
    <row r="2" spans="2:44" x14ac:dyDescent="0.25">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75" x14ac:dyDescent="0.25">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75" x14ac:dyDescent="0.25">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75" x14ac:dyDescent="0.25">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75" x14ac:dyDescent="0.25">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75" x14ac:dyDescent="0.25">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75" x14ac:dyDescent="0.25">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75" x14ac:dyDescent="0.25">
      <c r="B9" s="108" t="s">
        <v>1449</v>
      </c>
      <c r="D9" s="88" t="s">
        <v>454</v>
      </c>
      <c r="F9" s="263" t="s">
        <v>409</v>
      </c>
      <c r="G9" s="264">
        <v>9</v>
      </c>
      <c r="J9" s="270" t="s">
        <v>0</v>
      </c>
      <c r="K9" s="271" t="s">
        <v>5</v>
      </c>
      <c r="R9" s="273" t="s">
        <v>481</v>
      </c>
      <c r="W9" s="278" t="s">
        <v>929</v>
      </c>
      <c r="AG9" s="88" t="str">
        <f>CONCATENATE($AC$6,", ",AE7)</f>
        <v>алюминий, одинарный</v>
      </c>
    </row>
    <row r="10" spans="2:44" ht="15.75" x14ac:dyDescent="0.25">
      <c r="B10" s="108" t="s">
        <v>1450</v>
      </c>
      <c r="D10" s="88" t="s">
        <v>455</v>
      </c>
      <c r="F10" s="268" t="s">
        <v>293</v>
      </c>
      <c r="G10" s="269">
        <v>10</v>
      </c>
      <c r="J10" s="270" t="s">
        <v>0</v>
      </c>
      <c r="K10" s="271" t="s">
        <v>6</v>
      </c>
      <c r="AI10" s="262" t="s">
        <v>1899</v>
      </c>
      <c r="AK10" s="262" t="s">
        <v>804</v>
      </c>
      <c r="AN10" s="88" t="s">
        <v>1308</v>
      </c>
    </row>
    <row r="11" spans="2:44" ht="15.75" x14ac:dyDescent="0.25">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75" x14ac:dyDescent="0.25">
      <c r="B12" s="108" t="s">
        <v>1452</v>
      </c>
      <c r="F12" s="268" t="s">
        <v>422</v>
      </c>
      <c r="G12" s="269">
        <v>12</v>
      </c>
      <c r="J12" s="270" t="s">
        <v>13</v>
      </c>
      <c r="K12" s="271" t="s">
        <v>633</v>
      </c>
      <c r="R12" s="266"/>
      <c r="AI12" s="112">
        <f ca="1">YEAR(TODAY())</f>
        <v>2017</v>
      </c>
      <c r="AK12" s="88" t="s">
        <v>536</v>
      </c>
      <c r="AL12" s="88">
        <v>2</v>
      </c>
      <c r="AM12" s="88">
        <v>28</v>
      </c>
      <c r="AN12" s="275" t="s">
        <v>1325</v>
      </c>
    </row>
    <row r="13" spans="2:44" ht="15.75" x14ac:dyDescent="0.25">
      <c r="B13" s="108" t="s">
        <v>445</v>
      </c>
      <c r="F13" s="263" t="s">
        <v>95</v>
      </c>
      <c r="G13" s="264">
        <v>13</v>
      </c>
      <c r="J13" s="270" t="s">
        <v>13</v>
      </c>
      <c r="K13" s="271" t="s">
        <v>14</v>
      </c>
      <c r="R13" s="273"/>
      <c r="AK13" s="88" t="s">
        <v>537</v>
      </c>
      <c r="AL13" s="88">
        <v>3</v>
      </c>
      <c r="AM13" s="88">
        <v>31</v>
      </c>
      <c r="AN13" s="275" t="s">
        <v>978</v>
      </c>
    </row>
    <row r="14" spans="2:44" ht="15.75" x14ac:dyDescent="0.25">
      <c r="B14" s="108" t="s">
        <v>1649</v>
      </c>
      <c r="F14" s="268" t="s">
        <v>255</v>
      </c>
      <c r="G14" s="269">
        <v>14</v>
      </c>
      <c r="J14" s="270" t="s">
        <v>13</v>
      </c>
      <c r="K14" s="271" t="s">
        <v>15</v>
      </c>
      <c r="R14" s="273"/>
      <c r="AK14" s="88" t="s">
        <v>538</v>
      </c>
      <c r="AL14" s="88">
        <v>4</v>
      </c>
      <c r="AM14" s="88">
        <v>30</v>
      </c>
      <c r="AN14" s="275" t="s">
        <v>979</v>
      </c>
    </row>
    <row r="15" spans="2:44" ht="15.75" x14ac:dyDescent="0.25">
      <c r="B15" s="88" t="s">
        <v>1650</v>
      </c>
      <c r="F15" s="263" t="s">
        <v>91</v>
      </c>
      <c r="G15" s="264">
        <v>15</v>
      </c>
      <c r="J15" s="270" t="s">
        <v>13</v>
      </c>
      <c r="K15" s="271" t="s">
        <v>16</v>
      </c>
      <c r="M15" s="262" t="s">
        <v>613</v>
      </c>
      <c r="O15" s="262" t="s">
        <v>1247</v>
      </c>
      <c r="R15" s="272"/>
      <c r="AK15" s="88" t="s">
        <v>724</v>
      </c>
      <c r="AL15" s="88">
        <v>5</v>
      </c>
      <c r="AM15" s="88">
        <v>31</v>
      </c>
      <c r="AN15" s="275" t="s">
        <v>980</v>
      </c>
    </row>
    <row r="16" spans="2:44" ht="15.75" x14ac:dyDescent="0.25">
      <c r="B16" s="108" t="s">
        <v>1453</v>
      </c>
      <c r="F16" s="268" t="s">
        <v>71</v>
      </c>
      <c r="G16" s="269">
        <v>16</v>
      </c>
      <c r="J16" s="270" t="s">
        <v>13</v>
      </c>
      <c r="K16" s="271" t="s">
        <v>17</v>
      </c>
      <c r="M16" s="267" t="s">
        <v>1269</v>
      </c>
      <c r="O16" s="267" t="s">
        <v>1268</v>
      </c>
      <c r="R16" s="273"/>
      <c r="AK16" s="88" t="s">
        <v>725</v>
      </c>
      <c r="AL16" s="88">
        <v>6</v>
      </c>
      <c r="AM16" s="88">
        <v>30</v>
      </c>
    </row>
    <row r="17" spans="2:40" ht="15.75" x14ac:dyDescent="0.25">
      <c r="B17" s="108" t="s">
        <v>1454</v>
      </c>
      <c r="F17" s="263" t="s">
        <v>614</v>
      </c>
      <c r="G17" s="264">
        <v>17</v>
      </c>
      <c r="J17" s="270" t="s">
        <v>13</v>
      </c>
      <c r="K17" s="271" t="s">
        <v>18</v>
      </c>
      <c r="M17" s="88" t="s">
        <v>1248</v>
      </c>
      <c r="O17" s="108">
        <v>5</v>
      </c>
      <c r="R17" s="272"/>
      <c r="AK17" s="88" t="s">
        <v>720</v>
      </c>
      <c r="AL17" s="88">
        <v>7</v>
      </c>
      <c r="AM17" s="88">
        <v>31</v>
      </c>
    </row>
    <row r="18" spans="2:40" ht="15.75" x14ac:dyDescent="0.25">
      <c r="B18" s="108" t="s">
        <v>1455</v>
      </c>
      <c r="F18" s="268" t="s">
        <v>100</v>
      </c>
      <c r="G18" s="269">
        <v>18</v>
      </c>
      <c r="J18" s="270" t="s">
        <v>13</v>
      </c>
      <c r="K18" s="280" t="s">
        <v>23</v>
      </c>
      <c r="M18" s="88" t="s">
        <v>1249</v>
      </c>
      <c r="O18" s="108">
        <v>10</v>
      </c>
      <c r="R18" s="273"/>
      <c r="AK18" s="88" t="s">
        <v>721</v>
      </c>
      <c r="AL18" s="88">
        <v>8</v>
      </c>
      <c r="AM18" s="88">
        <v>31</v>
      </c>
    </row>
    <row r="19" spans="2:40" ht="24" x14ac:dyDescent="0.25">
      <c r="B19" s="281" t="s">
        <v>1456</v>
      </c>
      <c r="F19" s="263" t="s">
        <v>102</v>
      </c>
      <c r="G19" s="264">
        <v>19</v>
      </c>
      <c r="J19" s="270" t="s">
        <v>13</v>
      </c>
      <c r="K19" s="271" t="s">
        <v>20</v>
      </c>
      <c r="M19" s="88" t="s">
        <v>1250</v>
      </c>
      <c r="O19" s="108">
        <v>15</v>
      </c>
      <c r="AK19" s="88" t="s">
        <v>722</v>
      </c>
      <c r="AL19" s="88">
        <v>9</v>
      </c>
      <c r="AM19" s="88">
        <v>30</v>
      </c>
    </row>
    <row r="20" spans="2:40" ht="15.75" x14ac:dyDescent="0.25">
      <c r="B20" s="282" t="s">
        <v>1508</v>
      </c>
      <c r="F20" s="268" t="s">
        <v>615</v>
      </c>
      <c r="G20" s="269">
        <v>20</v>
      </c>
      <c r="J20" s="270" t="s">
        <v>13</v>
      </c>
      <c r="K20" s="271" t="s">
        <v>22</v>
      </c>
      <c r="M20" s="88" t="s">
        <v>1550</v>
      </c>
      <c r="O20" s="108">
        <v>20</v>
      </c>
      <c r="R20" s="261"/>
      <c r="AK20" s="88" t="s">
        <v>727</v>
      </c>
      <c r="AL20" s="88">
        <v>10</v>
      </c>
      <c r="AM20" s="88">
        <v>31</v>
      </c>
    </row>
    <row r="21" spans="2:40" ht="36" x14ac:dyDescent="0.25">
      <c r="B21" s="281" t="s">
        <v>609</v>
      </c>
      <c r="F21" s="263" t="s">
        <v>616</v>
      </c>
      <c r="G21" s="264">
        <v>21</v>
      </c>
      <c r="J21" s="270" t="s">
        <v>13</v>
      </c>
      <c r="K21" s="271" t="s">
        <v>34</v>
      </c>
      <c r="O21" s="108">
        <v>25</v>
      </c>
      <c r="R21" s="266"/>
      <c r="AK21" s="88" t="s">
        <v>533</v>
      </c>
      <c r="AL21" s="88">
        <v>11</v>
      </c>
      <c r="AM21" s="88">
        <v>30</v>
      </c>
    </row>
    <row r="22" spans="2:40" ht="36" customHeight="1" x14ac:dyDescent="0.25">
      <c r="B22" s="281" t="s">
        <v>1405</v>
      </c>
      <c r="F22" s="268" t="s">
        <v>113</v>
      </c>
      <c r="G22" s="269">
        <v>22</v>
      </c>
      <c r="J22" s="270" t="s">
        <v>13</v>
      </c>
      <c r="K22" s="271" t="s">
        <v>35</v>
      </c>
      <c r="M22" s="262" t="s">
        <v>1251</v>
      </c>
      <c r="O22" s="108">
        <v>30</v>
      </c>
      <c r="R22" s="272"/>
      <c r="AK22" s="88" t="s">
        <v>534</v>
      </c>
      <c r="AL22" s="88">
        <v>12</v>
      </c>
      <c r="AM22" s="88">
        <v>31</v>
      </c>
    </row>
    <row r="23" spans="2:40" ht="15.75" x14ac:dyDescent="0.25">
      <c r="B23" s="283"/>
      <c r="F23" s="263" t="s">
        <v>142</v>
      </c>
      <c r="G23" s="264">
        <v>23</v>
      </c>
      <c r="J23" s="270" t="s">
        <v>13</v>
      </c>
      <c r="K23" s="271" t="s">
        <v>634</v>
      </c>
      <c r="M23" s="267" t="s">
        <v>1252</v>
      </c>
      <c r="R23" s="273"/>
      <c r="AK23" s="234"/>
    </row>
    <row r="24" spans="2:40" ht="15.75" x14ac:dyDescent="0.25">
      <c r="B24" s="283"/>
      <c r="F24" s="268" t="s">
        <v>155</v>
      </c>
      <c r="G24" s="269">
        <v>24</v>
      </c>
      <c r="J24" s="270" t="s">
        <v>13</v>
      </c>
      <c r="K24" s="271" t="s">
        <v>24</v>
      </c>
      <c r="M24" s="88" t="s">
        <v>1434</v>
      </c>
      <c r="AL24" s="1503">
        <f>DATE('Ввод исходных данных'!E239,VLOOKUP('Ввод исходных данных'!D239,списки!AK11:AM22,2,0),VLOOKUP('Ввод исходных данных'!D239,списки!AK11:AM22,3,0))</f>
        <v>42794</v>
      </c>
      <c r="AM24" s="1503"/>
    </row>
    <row r="25" spans="2:40" ht="15.75" x14ac:dyDescent="0.25">
      <c r="B25" s="283"/>
      <c r="F25" s="263" t="s">
        <v>159</v>
      </c>
      <c r="G25" s="264">
        <v>25</v>
      </c>
      <c r="J25" s="270" t="s">
        <v>13</v>
      </c>
      <c r="K25" s="271" t="s">
        <v>25</v>
      </c>
      <c r="R25" s="284"/>
      <c r="AN25" s="234"/>
    </row>
    <row r="26" spans="2:40" s="234" customFormat="1" ht="15.75" x14ac:dyDescent="0.25">
      <c r="B26" s="283"/>
      <c r="C26" s="88"/>
      <c r="D26" s="88"/>
      <c r="F26" s="268" t="s">
        <v>165</v>
      </c>
      <c r="G26" s="269">
        <v>26</v>
      </c>
      <c r="J26" s="270" t="s">
        <v>13</v>
      </c>
      <c r="K26" s="271" t="s">
        <v>29</v>
      </c>
      <c r="M26" s="88"/>
      <c r="N26" s="88"/>
      <c r="O26" s="88"/>
      <c r="P26" s="88"/>
      <c r="Q26" s="88"/>
      <c r="R26" s="88"/>
      <c r="S26" s="88"/>
      <c r="T26" s="88"/>
      <c r="AK26" s="88"/>
      <c r="AN26" s="88"/>
    </row>
    <row r="27" spans="2:40" ht="15.75" x14ac:dyDescent="0.25">
      <c r="B27" s="283"/>
      <c r="F27" s="285" t="s">
        <v>182</v>
      </c>
      <c r="G27" s="264">
        <v>27</v>
      </c>
      <c r="J27" s="270" t="s">
        <v>13</v>
      </c>
      <c r="K27" s="271" t="s">
        <v>27</v>
      </c>
      <c r="M27" s="262" t="s">
        <v>1255</v>
      </c>
      <c r="R27" s="261"/>
    </row>
    <row r="28" spans="2:40" ht="15.75" x14ac:dyDescent="0.25">
      <c r="F28" s="268" t="s">
        <v>49</v>
      </c>
      <c r="G28" s="269">
        <v>28</v>
      </c>
      <c r="J28" s="270" t="s">
        <v>13</v>
      </c>
      <c r="K28" s="271" t="s">
        <v>28</v>
      </c>
      <c r="M28" s="267" t="s">
        <v>1269</v>
      </c>
      <c r="R28" s="266"/>
    </row>
    <row r="29" spans="2:40" ht="15.75" x14ac:dyDescent="0.25">
      <c r="B29" s="1884" t="s">
        <v>1547</v>
      </c>
      <c r="C29" s="1884"/>
      <c r="D29" s="1884"/>
      <c r="F29" s="263" t="s">
        <v>185</v>
      </c>
      <c r="G29" s="264">
        <v>29</v>
      </c>
      <c r="J29" s="270" t="s">
        <v>13</v>
      </c>
      <c r="K29" s="271" t="s">
        <v>30</v>
      </c>
      <c r="M29" s="88" t="s">
        <v>1253</v>
      </c>
      <c r="R29" s="273"/>
    </row>
    <row r="30" spans="2:40" ht="15.75" x14ac:dyDescent="0.25">
      <c r="B30" s="108" t="s">
        <v>519</v>
      </c>
      <c r="C30" s="252" t="b">
        <v>0</v>
      </c>
      <c r="D30" s="108">
        <f t="shared" ref="D30:D47" si="0">IF(C30=TRUE,1,0)</f>
        <v>0</v>
      </c>
      <c r="F30" s="268" t="s">
        <v>188</v>
      </c>
      <c r="G30" s="269">
        <v>30</v>
      </c>
      <c r="J30" s="270" t="s">
        <v>13</v>
      </c>
      <c r="K30" s="271" t="s">
        <v>31</v>
      </c>
      <c r="M30" s="88" t="s">
        <v>1254</v>
      </c>
      <c r="R30" s="273"/>
    </row>
    <row r="31" spans="2:40" ht="15.75" x14ac:dyDescent="0.25">
      <c r="B31" s="108" t="s">
        <v>521</v>
      </c>
      <c r="C31" s="252" t="b">
        <v>0</v>
      </c>
      <c r="D31" s="108">
        <f t="shared" si="0"/>
        <v>0</v>
      </c>
      <c r="F31" s="263" t="s">
        <v>190</v>
      </c>
      <c r="G31" s="264">
        <v>31</v>
      </c>
      <c r="J31" s="270" t="s">
        <v>13</v>
      </c>
      <c r="K31" s="271" t="s">
        <v>32</v>
      </c>
      <c r="N31" s="114" t="s">
        <v>864</v>
      </c>
      <c r="R31" s="272"/>
    </row>
    <row r="32" spans="2:40" ht="15.75" x14ac:dyDescent="0.25">
      <c r="B32" s="108" t="s">
        <v>518</v>
      </c>
      <c r="C32" s="252" t="b">
        <v>1</v>
      </c>
      <c r="D32" s="108">
        <f t="shared" si="0"/>
        <v>1</v>
      </c>
      <c r="F32" s="268" t="s">
        <v>617</v>
      </c>
      <c r="G32" s="269">
        <v>32</v>
      </c>
      <c r="J32" s="270" t="s">
        <v>13</v>
      </c>
      <c r="K32" s="271" t="s">
        <v>33</v>
      </c>
      <c r="N32" s="267" t="s">
        <v>1271</v>
      </c>
      <c r="R32" s="273"/>
    </row>
    <row r="33" spans="2:18" ht="15.75" x14ac:dyDescent="0.25">
      <c r="B33" s="108" t="s">
        <v>520</v>
      </c>
      <c r="C33" s="252" t="b">
        <v>1</v>
      </c>
      <c r="D33" s="108">
        <f t="shared" si="0"/>
        <v>1</v>
      </c>
      <c r="F33" s="263" t="s">
        <v>52</v>
      </c>
      <c r="G33" s="264">
        <v>33</v>
      </c>
      <c r="J33" s="270" t="s">
        <v>13</v>
      </c>
      <c r="K33" s="271" t="s">
        <v>19</v>
      </c>
      <c r="N33" s="88" t="s">
        <v>1258</v>
      </c>
      <c r="R33" s="272"/>
    </row>
    <row r="34" spans="2:18" ht="15.75" x14ac:dyDescent="0.25">
      <c r="B34" s="111" t="s">
        <v>1397</v>
      </c>
      <c r="C34" s="286" t="b">
        <v>0</v>
      </c>
      <c r="D34" s="111">
        <f t="shared" si="0"/>
        <v>0</v>
      </c>
      <c r="F34" s="268" t="s">
        <v>202</v>
      </c>
      <c r="G34" s="269">
        <v>34</v>
      </c>
      <c r="J34" s="270" t="s">
        <v>13</v>
      </c>
      <c r="K34" s="271" t="s">
        <v>26</v>
      </c>
      <c r="N34" s="88" t="s">
        <v>1259</v>
      </c>
    </row>
    <row r="35" spans="2:18" ht="15.75" x14ac:dyDescent="0.25">
      <c r="B35" s="111" t="s">
        <v>1398</v>
      </c>
      <c r="C35" s="286" t="b">
        <v>0</v>
      </c>
      <c r="D35" s="111">
        <f t="shared" si="0"/>
        <v>0</v>
      </c>
      <c r="F35" s="263" t="s">
        <v>618</v>
      </c>
      <c r="G35" s="264">
        <v>35</v>
      </c>
      <c r="J35" s="270" t="s">
        <v>13</v>
      </c>
      <c r="K35" s="271" t="s">
        <v>21</v>
      </c>
      <c r="N35" s="88" t="s">
        <v>1260</v>
      </c>
      <c r="R35" s="261"/>
    </row>
    <row r="36" spans="2:18" ht="15.75" x14ac:dyDescent="0.25">
      <c r="B36" s="111" t="s">
        <v>1399</v>
      </c>
      <c r="C36" s="286" t="b">
        <v>0</v>
      </c>
      <c r="D36" s="111">
        <f t="shared" si="0"/>
        <v>0</v>
      </c>
      <c r="F36" s="268" t="s">
        <v>67</v>
      </c>
      <c r="G36" s="269">
        <v>36</v>
      </c>
      <c r="J36" s="270" t="s">
        <v>36</v>
      </c>
      <c r="K36" s="271" t="s">
        <v>37</v>
      </c>
      <c r="N36" s="88" t="s">
        <v>1264</v>
      </c>
      <c r="R36" s="266"/>
    </row>
    <row r="37" spans="2:18" ht="15.75" x14ac:dyDescent="0.25">
      <c r="B37" s="111" t="s">
        <v>1401</v>
      </c>
      <c r="C37" s="286" t="b">
        <v>1</v>
      </c>
      <c r="D37" s="111">
        <f t="shared" si="0"/>
        <v>1</v>
      </c>
      <c r="F37" s="263" t="s">
        <v>226</v>
      </c>
      <c r="G37" s="264">
        <v>37</v>
      </c>
      <c r="J37" s="270" t="s">
        <v>36</v>
      </c>
      <c r="K37" s="271" t="s">
        <v>38</v>
      </c>
      <c r="N37" s="88" t="s">
        <v>1265</v>
      </c>
      <c r="R37" s="273"/>
    </row>
    <row r="38" spans="2:18" ht="15.75" x14ac:dyDescent="0.25">
      <c r="B38" s="111" t="s">
        <v>1402</v>
      </c>
      <c r="C38" s="286" t="b">
        <v>1</v>
      </c>
      <c r="D38" s="111">
        <f t="shared" si="0"/>
        <v>1</v>
      </c>
      <c r="F38" s="268" t="s">
        <v>229</v>
      </c>
      <c r="G38" s="269">
        <v>38</v>
      </c>
      <c r="J38" s="270" t="s">
        <v>36</v>
      </c>
      <c r="K38" s="271" t="s">
        <v>39</v>
      </c>
      <c r="N38" s="88" t="s">
        <v>1261</v>
      </c>
      <c r="R38" s="273"/>
    </row>
    <row r="39" spans="2:18" ht="15.75" x14ac:dyDescent="0.25">
      <c r="B39" s="111" t="s">
        <v>1515</v>
      </c>
      <c r="C39" s="286" t="b">
        <v>0</v>
      </c>
      <c r="D39" s="111">
        <f t="shared" si="0"/>
        <v>0</v>
      </c>
      <c r="F39" s="263" t="s">
        <v>238</v>
      </c>
      <c r="G39" s="264">
        <v>39</v>
      </c>
      <c r="J39" s="270" t="s">
        <v>36</v>
      </c>
      <c r="K39" s="271" t="s">
        <v>41</v>
      </c>
      <c r="N39" s="88" t="s">
        <v>1262</v>
      </c>
      <c r="R39" s="272"/>
    </row>
    <row r="40" spans="2:18" ht="15.75" x14ac:dyDescent="0.25">
      <c r="B40" s="111" t="s">
        <v>1537</v>
      </c>
      <c r="C40" s="286" t="b">
        <v>0</v>
      </c>
      <c r="D40" s="111">
        <f t="shared" si="0"/>
        <v>0</v>
      </c>
      <c r="F40" s="268" t="s">
        <v>242</v>
      </c>
      <c r="G40" s="269">
        <v>40</v>
      </c>
      <c r="J40" s="270" t="s">
        <v>36</v>
      </c>
      <c r="K40" s="271" t="s">
        <v>40</v>
      </c>
      <c r="N40" s="88" t="s">
        <v>1263</v>
      </c>
      <c r="R40" s="273"/>
    </row>
    <row r="41" spans="2:18" ht="15.75" x14ac:dyDescent="0.25">
      <c r="B41" s="111" t="s">
        <v>1538</v>
      </c>
      <c r="C41" s="286" t="b">
        <v>0</v>
      </c>
      <c r="D41" s="111">
        <f t="shared" si="0"/>
        <v>0</v>
      </c>
      <c r="F41" s="263" t="s">
        <v>246</v>
      </c>
      <c r="G41" s="264">
        <v>41</v>
      </c>
      <c r="J41" s="270" t="s">
        <v>36</v>
      </c>
      <c r="K41" s="271" t="s">
        <v>42</v>
      </c>
      <c r="R41" s="272"/>
    </row>
    <row r="42" spans="2:18" ht="15.75" x14ac:dyDescent="0.25">
      <c r="B42" s="111" t="s">
        <v>1539</v>
      </c>
      <c r="C42" s="286" t="b">
        <v>0</v>
      </c>
      <c r="D42" s="111">
        <f t="shared" si="0"/>
        <v>0</v>
      </c>
      <c r="F42" s="268" t="s">
        <v>248</v>
      </c>
      <c r="G42" s="269">
        <v>42</v>
      </c>
      <c r="J42" s="270" t="s">
        <v>36</v>
      </c>
      <c r="K42" s="271" t="s">
        <v>43</v>
      </c>
    </row>
    <row r="43" spans="2:18" ht="15.75" x14ac:dyDescent="0.25">
      <c r="B43" s="287" t="s">
        <v>1552</v>
      </c>
      <c r="C43" s="224" t="b">
        <v>0</v>
      </c>
      <c r="D43" s="111">
        <f t="shared" si="0"/>
        <v>0</v>
      </c>
      <c r="F43" s="263" t="s">
        <v>619</v>
      </c>
      <c r="G43" s="264">
        <v>43</v>
      </c>
      <c r="J43" s="288" t="s">
        <v>44</v>
      </c>
      <c r="K43" s="280" t="s">
        <v>45</v>
      </c>
      <c r="N43" s="88" t="s">
        <v>801</v>
      </c>
      <c r="R43" s="261"/>
    </row>
    <row r="44" spans="2:18" ht="15.75" x14ac:dyDescent="0.25">
      <c r="B44" s="287" t="s">
        <v>1553</v>
      </c>
      <c r="C44" s="224" t="b">
        <v>0</v>
      </c>
      <c r="D44" s="289">
        <f t="shared" si="0"/>
        <v>0</v>
      </c>
      <c r="F44" s="268" t="s">
        <v>254</v>
      </c>
      <c r="G44" s="269">
        <v>44</v>
      </c>
      <c r="J44" s="288" t="s">
        <v>44</v>
      </c>
      <c r="K44" s="271" t="s">
        <v>46</v>
      </c>
      <c r="N44" s="267" t="s">
        <v>1270</v>
      </c>
      <c r="R44" s="266"/>
    </row>
    <row r="45" spans="2:18" ht="15.75" x14ac:dyDescent="0.25">
      <c r="B45" s="108" t="s">
        <v>1560</v>
      </c>
      <c r="C45" s="252" t="b">
        <v>0</v>
      </c>
      <c r="D45" s="289">
        <f t="shared" si="0"/>
        <v>0</v>
      </c>
      <c r="F45" s="263" t="s">
        <v>265</v>
      </c>
      <c r="G45" s="264">
        <v>45</v>
      </c>
      <c r="J45" s="288" t="s">
        <v>47</v>
      </c>
      <c r="K45" s="271" t="s">
        <v>48</v>
      </c>
      <c r="N45" s="290" t="s">
        <v>1266</v>
      </c>
      <c r="R45" s="272"/>
    </row>
    <row r="46" spans="2:18" ht="15.75" x14ac:dyDescent="0.25">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75" x14ac:dyDescent="0.25">
      <c r="B47" s="108" t="s">
        <v>1616</v>
      </c>
      <c r="C47" s="252" t="b">
        <v>0</v>
      </c>
      <c r="D47" s="289">
        <f t="shared" si="0"/>
        <v>0</v>
      </c>
      <c r="F47" s="263" t="s">
        <v>620</v>
      </c>
      <c r="G47" s="264">
        <v>47</v>
      </c>
      <c r="J47" s="288" t="s">
        <v>409</v>
      </c>
      <c r="K47" s="271" t="s">
        <v>411</v>
      </c>
    </row>
    <row r="48" spans="2:18" ht="15.75" x14ac:dyDescent="0.25">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1</v>
      </c>
      <c r="D48" s="108" t="s">
        <v>1674</v>
      </c>
      <c r="F48" s="268" t="s">
        <v>269</v>
      </c>
      <c r="G48" s="269">
        <v>48</v>
      </c>
      <c r="J48" s="288" t="s">
        <v>409</v>
      </c>
      <c r="K48" s="271" t="s">
        <v>410</v>
      </c>
    </row>
    <row r="49" spans="2:14" ht="15.75" x14ac:dyDescent="0.25">
      <c r="B49" s="108" t="s">
        <v>1556</v>
      </c>
      <c r="C49" s="174">
        <f>IF(SUM('Список мероприятий'!Z6:Z77)&gt;0,1,0)</f>
        <v>1</v>
      </c>
      <c r="D49" s="108" t="s">
        <v>1673</v>
      </c>
      <c r="F49" s="263" t="s">
        <v>275</v>
      </c>
      <c r="G49" s="264">
        <v>49</v>
      </c>
      <c r="J49" s="288" t="s">
        <v>293</v>
      </c>
      <c r="K49" s="271" t="s">
        <v>417</v>
      </c>
      <c r="N49" s="114"/>
    </row>
    <row r="50" spans="2:14" ht="15.75" x14ac:dyDescent="0.25">
      <c r="B50" s="108" t="s">
        <v>1557</v>
      </c>
      <c r="C50" s="174">
        <f>IF(OR(C48&gt;0,C49&gt;0,C51&gt;0),1,0)</f>
        <v>1</v>
      </c>
      <c r="D50" s="108"/>
      <c r="F50" s="268" t="s">
        <v>2</v>
      </c>
      <c r="G50" s="269">
        <v>50</v>
      </c>
      <c r="J50" s="288" t="s">
        <v>293</v>
      </c>
      <c r="K50" s="271" t="s">
        <v>413</v>
      </c>
      <c r="N50" s="267"/>
    </row>
    <row r="51" spans="2:14" ht="15.75" x14ac:dyDescent="0.25">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75" x14ac:dyDescent="0.25">
      <c r="F52" s="268" t="s">
        <v>98</v>
      </c>
      <c r="G52" s="269">
        <v>52</v>
      </c>
      <c r="J52" s="288" t="s">
        <v>293</v>
      </c>
      <c r="K52" s="271" t="s">
        <v>415</v>
      </c>
    </row>
    <row r="53" spans="2:14" ht="15.75" x14ac:dyDescent="0.25">
      <c r="F53" s="263" t="s">
        <v>458</v>
      </c>
      <c r="G53" s="264">
        <v>53</v>
      </c>
      <c r="J53" s="288" t="s">
        <v>293</v>
      </c>
      <c r="K53" s="271" t="s">
        <v>416</v>
      </c>
    </row>
    <row r="54" spans="2:14" ht="15.75" x14ac:dyDescent="0.25">
      <c r="F54" s="268" t="s">
        <v>329</v>
      </c>
      <c r="G54" s="269">
        <v>54</v>
      </c>
      <c r="J54" s="288" t="s">
        <v>293</v>
      </c>
      <c r="K54" s="280" t="s">
        <v>412</v>
      </c>
    </row>
    <row r="55" spans="2:14" ht="15.75" x14ac:dyDescent="0.25">
      <c r="F55" s="263" t="s">
        <v>145</v>
      </c>
      <c r="G55" s="264">
        <v>55</v>
      </c>
      <c r="J55" s="288" t="s">
        <v>419</v>
      </c>
      <c r="K55" s="271" t="s">
        <v>418</v>
      </c>
    </row>
    <row r="56" spans="2:14" ht="15.75" x14ac:dyDescent="0.25">
      <c r="F56" s="268" t="s">
        <v>197</v>
      </c>
      <c r="G56" s="269">
        <v>56</v>
      </c>
      <c r="J56" s="288" t="s">
        <v>419</v>
      </c>
      <c r="K56" s="271" t="s">
        <v>421</v>
      </c>
    </row>
    <row r="57" spans="2:14" ht="15.75" x14ac:dyDescent="0.25">
      <c r="F57" s="263" t="s">
        <v>288</v>
      </c>
      <c r="G57" s="264">
        <v>57</v>
      </c>
      <c r="J57" s="288" t="s">
        <v>419</v>
      </c>
      <c r="K57" s="271" t="s">
        <v>635</v>
      </c>
    </row>
    <row r="58" spans="2:14" ht="15.75" x14ac:dyDescent="0.25">
      <c r="F58" s="268" t="s">
        <v>336</v>
      </c>
      <c r="G58" s="269">
        <v>58</v>
      </c>
      <c r="J58" s="288" t="s">
        <v>419</v>
      </c>
      <c r="K58" s="271" t="s">
        <v>636</v>
      </c>
    </row>
    <row r="59" spans="2:14" ht="15.75" x14ac:dyDescent="0.25">
      <c r="F59" s="263" t="s">
        <v>621</v>
      </c>
      <c r="G59" s="264">
        <v>59</v>
      </c>
      <c r="J59" s="288" t="s">
        <v>419</v>
      </c>
      <c r="K59" s="271" t="s">
        <v>420</v>
      </c>
    </row>
    <row r="60" spans="2:14" ht="15.75" x14ac:dyDescent="0.25">
      <c r="F60" s="268" t="s">
        <v>381</v>
      </c>
      <c r="G60" s="269">
        <v>60</v>
      </c>
      <c r="J60" s="288" t="s">
        <v>422</v>
      </c>
      <c r="K60" s="280" t="s">
        <v>423</v>
      </c>
    </row>
    <row r="61" spans="2:14" ht="15.75" x14ac:dyDescent="0.25">
      <c r="F61" s="263" t="s">
        <v>622</v>
      </c>
      <c r="G61" s="264">
        <v>61</v>
      </c>
      <c r="J61" s="288" t="s">
        <v>95</v>
      </c>
      <c r="K61" s="271" t="s">
        <v>96</v>
      </c>
    </row>
    <row r="62" spans="2:14" ht="15.75" x14ac:dyDescent="0.25">
      <c r="F62" s="268" t="s">
        <v>623</v>
      </c>
      <c r="G62" s="269">
        <v>62</v>
      </c>
      <c r="J62" s="288" t="s">
        <v>95</v>
      </c>
      <c r="K62" s="280" t="s">
        <v>97</v>
      </c>
    </row>
    <row r="63" spans="2:14" ht="15.75" x14ac:dyDescent="0.25">
      <c r="F63" s="263" t="s">
        <v>291</v>
      </c>
      <c r="G63" s="264">
        <v>63</v>
      </c>
      <c r="J63" s="288" t="s">
        <v>255</v>
      </c>
      <c r="K63" s="271" t="s">
        <v>429</v>
      </c>
    </row>
    <row r="64" spans="2:14" ht="15.75" x14ac:dyDescent="0.25">
      <c r="F64" s="268" t="s">
        <v>294</v>
      </c>
      <c r="G64" s="269">
        <v>64</v>
      </c>
      <c r="J64" s="288" t="s">
        <v>255</v>
      </c>
      <c r="K64" s="280" t="s">
        <v>430</v>
      </c>
    </row>
    <row r="65" spans="6:11" ht="15.75" x14ac:dyDescent="0.25">
      <c r="F65" s="263" t="s">
        <v>307</v>
      </c>
      <c r="G65" s="264">
        <v>65</v>
      </c>
      <c r="J65" s="288" t="s">
        <v>255</v>
      </c>
      <c r="K65" s="271" t="s">
        <v>637</v>
      </c>
    </row>
    <row r="66" spans="6:11" ht="15.75" x14ac:dyDescent="0.25">
      <c r="F66" s="268" t="s">
        <v>624</v>
      </c>
      <c r="G66" s="269">
        <v>66</v>
      </c>
      <c r="J66" s="288" t="s">
        <v>255</v>
      </c>
      <c r="K66" s="271" t="s">
        <v>431</v>
      </c>
    </row>
    <row r="67" spans="6:11" ht="15.75" x14ac:dyDescent="0.25">
      <c r="F67" s="263" t="s">
        <v>249</v>
      </c>
      <c r="G67" s="264">
        <v>67</v>
      </c>
      <c r="J67" s="288" t="s">
        <v>255</v>
      </c>
      <c r="K67" s="271" t="s">
        <v>434</v>
      </c>
    </row>
    <row r="68" spans="6:11" ht="15.75" x14ac:dyDescent="0.25">
      <c r="F68" s="268" t="s">
        <v>296</v>
      </c>
      <c r="G68" s="269">
        <v>68</v>
      </c>
      <c r="J68" s="288" t="s">
        <v>255</v>
      </c>
      <c r="K68" s="271" t="s">
        <v>435</v>
      </c>
    </row>
    <row r="69" spans="6:11" ht="15.75" x14ac:dyDescent="0.25">
      <c r="F69" s="263" t="s">
        <v>320</v>
      </c>
      <c r="G69" s="264">
        <v>69</v>
      </c>
      <c r="J69" s="288" t="s">
        <v>255</v>
      </c>
      <c r="K69" s="271" t="s">
        <v>436</v>
      </c>
    </row>
    <row r="70" spans="6:11" ht="15.75" x14ac:dyDescent="0.25">
      <c r="F70" s="268" t="s">
        <v>312</v>
      </c>
      <c r="G70" s="269">
        <v>70</v>
      </c>
      <c r="J70" s="288" t="s">
        <v>255</v>
      </c>
      <c r="K70" s="271" t="s">
        <v>437</v>
      </c>
    </row>
    <row r="71" spans="6:11" ht="15.75" x14ac:dyDescent="0.25">
      <c r="F71" s="263" t="s">
        <v>314</v>
      </c>
      <c r="G71" s="264">
        <v>71</v>
      </c>
      <c r="J71" s="288" t="s">
        <v>255</v>
      </c>
      <c r="K71" s="271" t="s">
        <v>438</v>
      </c>
    </row>
    <row r="72" spans="6:11" ht="15.75" x14ac:dyDescent="0.25">
      <c r="F72" s="268" t="s">
        <v>326</v>
      </c>
      <c r="G72" s="269">
        <v>72</v>
      </c>
      <c r="J72" s="288" t="s">
        <v>255</v>
      </c>
      <c r="K72" s="271" t="s">
        <v>638</v>
      </c>
    </row>
    <row r="73" spans="6:11" ht="15.75" x14ac:dyDescent="0.25">
      <c r="F73" s="263" t="s">
        <v>392</v>
      </c>
      <c r="G73" s="264">
        <v>73</v>
      </c>
      <c r="J73" s="288" t="s">
        <v>255</v>
      </c>
      <c r="K73" s="271" t="s">
        <v>439</v>
      </c>
    </row>
    <row r="74" spans="6:11" ht="15.75" x14ac:dyDescent="0.25">
      <c r="F74" s="268" t="s">
        <v>55</v>
      </c>
      <c r="G74" s="269">
        <v>74</v>
      </c>
      <c r="J74" s="288" t="s">
        <v>255</v>
      </c>
      <c r="K74" s="271" t="s">
        <v>440</v>
      </c>
    </row>
    <row r="75" spans="6:11" ht="15.75" x14ac:dyDescent="0.25">
      <c r="F75" s="263" t="s">
        <v>389</v>
      </c>
      <c r="G75" s="264">
        <v>75</v>
      </c>
      <c r="J75" s="288" t="s">
        <v>255</v>
      </c>
      <c r="K75" s="280" t="s">
        <v>441</v>
      </c>
    </row>
    <row r="76" spans="6:11" ht="15.75" x14ac:dyDescent="0.25">
      <c r="F76" s="268" t="s">
        <v>396</v>
      </c>
      <c r="G76" s="269">
        <v>76</v>
      </c>
      <c r="J76" s="288" t="s">
        <v>255</v>
      </c>
      <c r="K76" s="271" t="s">
        <v>432</v>
      </c>
    </row>
    <row r="77" spans="6:11" ht="15.75" x14ac:dyDescent="0.25">
      <c r="F77" s="292" t="s">
        <v>625</v>
      </c>
      <c r="G77" s="264">
        <v>77</v>
      </c>
      <c r="J77" s="288" t="s">
        <v>255</v>
      </c>
      <c r="K77" s="271" t="s">
        <v>433</v>
      </c>
    </row>
    <row r="78" spans="6:11" ht="15.75" x14ac:dyDescent="0.25">
      <c r="F78" s="268" t="s">
        <v>406</v>
      </c>
      <c r="G78" s="269">
        <v>78</v>
      </c>
      <c r="J78" s="288" t="s">
        <v>91</v>
      </c>
      <c r="K78" s="280" t="s">
        <v>92</v>
      </c>
    </row>
    <row r="79" spans="6:11" ht="15.75" x14ac:dyDescent="0.25">
      <c r="F79" s="263" t="s">
        <v>121</v>
      </c>
      <c r="G79" s="264">
        <v>79</v>
      </c>
      <c r="J79" s="288" t="s">
        <v>91</v>
      </c>
      <c r="K79" s="271" t="s">
        <v>93</v>
      </c>
    </row>
    <row r="80" spans="6:11" ht="15.75" x14ac:dyDescent="0.25">
      <c r="F80" s="268" t="s">
        <v>626</v>
      </c>
      <c r="G80" s="269">
        <v>80</v>
      </c>
      <c r="J80" s="288" t="s">
        <v>71</v>
      </c>
      <c r="K80" s="271" t="s">
        <v>72</v>
      </c>
    </row>
    <row r="81" spans="6:11" ht="15.75" x14ac:dyDescent="0.25">
      <c r="F81" s="263" t="s">
        <v>53</v>
      </c>
      <c r="G81" s="264">
        <v>81</v>
      </c>
      <c r="J81" s="288" t="s">
        <v>71</v>
      </c>
      <c r="K81" s="271" t="s">
        <v>73</v>
      </c>
    </row>
    <row r="82" spans="6:11" ht="15.75" x14ac:dyDescent="0.25">
      <c r="F82" s="268" t="s">
        <v>627</v>
      </c>
      <c r="G82" s="269">
        <v>82</v>
      </c>
      <c r="J82" s="288" t="s">
        <v>71</v>
      </c>
      <c r="K82" s="271" t="s">
        <v>74</v>
      </c>
    </row>
    <row r="83" spans="6:11" ht="15.75" x14ac:dyDescent="0.25">
      <c r="F83" s="263" t="s">
        <v>628</v>
      </c>
      <c r="G83" s="264">
        <v>83</v>
      </c>
      <c r="J83" s="288" t="s">
        <v>71</v>
      </c>
      <c r="K83" s="271" t="s">
        <v>88</v>
      </c>
    </row>
    <row r="84" spans="6:11" ht="15.75" x14ac:dyDescent="0.25">
      <c r="F84" s="268" t="s">
        <v>58</v>
      </c>
      <c r="G84" s="269">
        <v>84</v>
      </c>
      <c r="J84" s="288" t="s">
        <v>71</v>
      </c>
      <c r="K84" s="271" t="s">
        <v>639</v>
      </c>
    </row>
    <row r="85" spans="6:11" ht="15.75" x14ac:dyDescent="0.25">
      <c r="F85" s="263" t="s">
        <v>629</v>
      </c>
      <c r="G85" s="264">
        <v>85</v>
      </c>
      <c r="J85" s="288" t="s">
        <v>71</v>
      </c>
      <c r="K85" s="280" t="s">
        <v>89</v>
      </c>
    </row>
    <row r="86" spans="6:11" ht="15.75" x14ac:dyDescent="0.25">
      <c r="F86" s="88" t="s">
        <v>427</v>
      </c>
      <c r="G86" s="269">
        <v>86</v>
      </c>
      <c r="J86" s="288" t="s">
        <v>71</v>
      </c>
      <c r="K86" s="271" t="s">
        <v>90</v>
      </c>
    </row>
    <row r="87" spans="6:11" ht="15.75" x14ac:dyDescent="0.25">
      <c r="F87" s="88" t="s">
        <v>630</v>
      </c>
      <c r="G87" s="264">
        <v>87</v>
      </c>
      <c r="J87" s="288" t="s">
        <v>71</v>
      </c>
      <c r="K87" s="271" t="s">
        <v>640</v>
      </c>
    </row>
    <row r="88" spans="6:11" ht="15.75" x14ac:dyDescent="0.25">
      <c r="F88" s="88" t="s">
        <v>631</v>
      </c>
      <c r="G88" s="269">
        <v>88</v>
      </c>
      <c r="J88" s="288" t="s">
        <v>71</v>
      </c>
      <c r="K88" s="271" t="s">
        <v>76</v>
      </c>
    </row>
    <row r="89" spans="6:11" ht="15.75" x14ac:dyDescent="0.25">
      <c r="J89" s="288" t="s">
        <v>71</v>
      </c>
      <c r="K89" s="271" t="s">
        <v>641</v>
      </c>
    </row>
    <row r="90" spans="6:11" ht="15.75" x14ac:dyDescent="0.25">
      <c r="J90" s="288" t="s">
        <v>71</v>
      </c>
      <c r="K90" s="271" t="s">
        <v>77</v>
      </c>
    </row>
    <row r="91" spans="6:11" ht="15.75" x14ac:dyDescent="0.25">
      <c r="J91" s="288" t="s">
        <v>71</v>
      </c>
      <c r="K91" s="280" t="s">
        <v>75</v>
      </c>
    </row>
    <row r="92" spans="6:11" ht="15.75" x14ac:dyDescent="0.25">
      <c r="J92" s="288" t="s">
        <v>71</v>
      </c>
      <c r="K92" s="271" t="s">
        <v>78</v>
      </c>
    </row>
    <row r="93" spans="6:11" ht="15.75" x14ac:dyDescent="0.25">
      <c r="J93" s="288" t="s">
        <v>71</v>
      </c>
      <c r="K93" s="280" t="s">
        <v>79</v>
      </c>
    </row>
    <row r="94" spans="6:11" ht="15.75" x14ac:dyDescent="0.25">
      <c r="J94" s="288" t="s">
        <v>71</v>
      </c>
      <c r="K94" s="271" t="s">
        <v>62</v>
      </c>
    </row>
    <row r="95" spans="6:11" ht="15.75" x14ac:dyDescent="0.25">
      <c r="J95" s="288" t="s">
        <v>71</v>
      </c>
      <c r="K95" s="271" t="s">
        <v>642</v>
      </c>
    </row>
    <row r="96" spans="6:11" ht="15.75" x14ac:dyDescent="0.25">
      <c r="J96" s="288" t="s">
        <v>71</v>
      </c>
      <c r="K96" s="280" t="s">
        <v>81</v>
      </c>
    </row>
    <row r="97" spans="10:11" ht="15.75" x14ac:dyDescent="0.25">
      <c r="J97" s="288" t="s">
        <v>71</v>
      </c>
      <c r="K97" s="271" t="s">
        <v>80</v>
      </c>
    </row>
    <row r="98" spans="10:11" ht="15.75" x14ac:dyDescent="0.25">
      <c r="J98" s="288" t="s">
        <v>71</v>
      </c>
      <c r="K98" s="271" t="s">
        <v>82</v>
      </c>
    </row>
    <row r="99" spans="10:11" ht="15.75" x14ac:dyDescent="0.25">
      <c r="J99" s="288" t="s">
        <v>71</v>
      </c>
      <c r="K99" s="271" t="s">
        <v>83</v>
      </c>
    </row>
    <row r="100" spans="10:11" ht="15.75" x14ac:dyDescent="0.25">
      <c r="J100" s="288" t="s">
        <v>71</v>
      </c>
      <c r="K100" s="280" t="s">
        <v>84</v>
      </c>
    </row>
    <row r="101" spans="10:11" ht="15.75" x14ac:dyDescent="0.25">
      <c r="J101" s="288" t="s">
        <v>71</v>
      </c>
      <c r="K101" s="271" t="s">
        <v>643</v>
      </c>
    </row>
    <row r="102" spans="10:11" ht="15.75" x14ac:dyDescent="0.25">
      <c r="J102" s="288" t="s">
        <v>71</v>
      </c>
      <c r="K102" s="271" t="s">
        <v>85</v>
      </c>
    </row>
    <row r="103" spans="10:11" ht="15.75" x14ac:dyDescent="0.25">
      <c r="J103" s="288" t="s">
        <v>71</v>
      </c>
      <c r="K103" s="271" t="s">
        <v>86</v>
      </c>
    </row>
    <row r="104" spans="10:11" ht="15.75" x14ac:dyDescent="0.25">
      <c r="J104" s="288" t="s">
        <v>71</v>
      </c>
      <c r="K104" s="271" t="s">
        <v>87</v>
      </c>
    </row>
    <row r="105" spans="10:11" ht="15.75" x14ac:dyDescent="0.25">
      <c r="J105" s="288" t="s">
        <v>71</v>
      </c>
      <c r="K105" s="280" t="s">
        <v>644</v>
      </c>
    </row>
    <row r="106" spans="10:11" ht="15.75" x14ac:dyDescent="0.25">
      <c r="J106" s="288" t="s">
        <v>614</v>
      </c>
      <c r="K106" s="271" t="s">
        <v>99</v>
      </c>
    </row>
    <row r="107" spans="10:11" ht="15.75" x14ac:dyDescent="0.25">
      <c r="J107" s="288" t="s">
        <v>100</v>
      </c>
      <c r="K107" s="271" t="s">
        <v>101</v>
      </c>
    </row>
    <row r="108" spans="10:11" ht="15.75" x14ac:dyDescent="0.25">
      <c r="J108" s="288" t="s">
        <v>102</v>
      </c>
      <c r="K108" s="271" t="s">
        <v>103</v>
      </c>
    </row>
    <row r="109" spans="10:11" ht="15.75" x14ac:dyDescent="0.25">
      <c r="J109" s="288" t="s">
        <v>615</v>
      </c>
      <c r="K109" s="271" t="s">
        <v>645</v>
      </c>
    </row>
    <row r="110" spans="10:11" ht="15.75" x14ac:dyDescent="0.25">
      <c r="J110" s="288" t="s">
        <v>615</v>
      </c>
      <c r="K110" s="271" t="s">
        <v>646</v>
      </c>
    </row>
    <row r="111" spans="10:11" ht="15.75" x14ac:dyDescent="0.25">
      <c r="J111" s="288" t="s">
        <v>615</v>
      </c>
      <c r="K111" s="271" t="s">
        <v>104</v>
      </c>
    </row>
    <row r="112" spans="10:11" ht="15.75" x14ac:dyDescent="0.25">
      <c r="J112" s="288" t="s">
        <v>615</v>
      </c>
      <c r="K112" s="271" t="s">
        <v>105</v>
      </c>
    </row>
    <row r="113" spans="10:11" ht="15.75" x14ac:dyDescent="0.25">
      <c r="J113" s="288" t="s">
        <v>615</v>
      </c>
      <c r="K113" s="271" t="s">
        <v>647</v>
      </c>
    </row>
    <row r="114" spans="10:11" ht="15.75" x14ac:dyDescent="0.25">
      <c r="J114" s="288" t="s">
        <v>615</v>
      </c>
      <c r="K114" s="271" t="s">
        <v>106</v>
      </c>
    </row>
    <row r="115" spans="10:11" ht="15.75" x14ac:dyDescent="0.25">
      <c r="J115" s="288" t="s">
        <v>615</v>
      </c>
      <c r="K115" s="271" t="s">
        <v>648</v>
      </c>
    </row>
    <row r="116" spans="10:11" ht="15.75" x14ac:dyDescent="0.25">
      <c r="J116" s="288" t="s">
        <v>615</v>
      </c>
      <c r="K116" s="271" t="s">
        <v>649</v>
      </c>
    </row>
    <row r="117" spans="10:11" ht="15.75" x14ac:dyDescent="0.25">
      <c r="J117" s="288" t="s">
        <v>615</v>
      </c>
      <c r="K117" s="271" t="s">
        <v>107</v>
      </c>
    </row>
    <row r="118" spans="10:11" ht="15.75" x14ac:dyDescent="0.25">
      <c r="J118" s="288" t="s">
        <v>615</v>
      </c>
      <c r="K118" s="271" t="s">
        <v>650</v>
      </c>
    </row>
    <row r="119" spans="10:11" ht="15.75" x14ac:dyDescent="0.25">
      <c r="J119" s="288" t="s">
        <v>615</v>
      </c>
      <c r="K119" s="271" t="s">
        <v>108</v>
      </c>
    </row>
    <row r="120" spans="10:11" ht="15.75" x14ac:dyDescent="0.25">
      <c r="J120" s="288" t="s">
        <v>615</v>
      </c>
      <c r="K120" s="271" t="s">
        <v>651</v>
      </c>
    </row>
    <row r="121" spans="10:11" ht="15.75" x14ac:dyDescent="0.25">
      <c r="J121" s="288" t="s">
        <v>615</v>
      </c>
      <c r="K121" s="271" t="s">
        <v>652</v>
      </c>
    </row>
    <row r="122" spans="10:11" ht="15.75" x14ac:dyDescent="0.25">
      <c r="J122" s="288" t="s">
        <v>615</v>
      </c>
      <c r="K122" s="271" t="s">
        <v>109</v>
      </c>
    </row>
    <row r="123" spans="10:11" ht="15.75" x14ac:dyDescent="0.25">
      <c r="J123" s="288" t="s">
        <v>615</v>
      </c>
      <c r="K123" s="271" t="s">
        <v>110</v>
      </c>
    </row>
    <row r="124" spans="10:11" ht="15.75" x14ac:dyDescent="0.25">
      <c r="J124" s="288" t="s">
        <v>615</v>
      </c>
      <c r="K124" s="271" t="s">
        <v>111</v>
      </c>
    </row>
    <row r="125" spans="10:11" ht="15.75" x14ac:dyDescent="0.25">
      <c r="J125" s="288" t="s">
        <v>615</v>
      </c>
      <c r="K125" s="280" t="s">
        <v>653</v>
      </c>
    </row>
    <row r="126" spans="10:11" ht="15.75" x14ac:dyDescent="0.25">
      <c r="J126" s="288" t="s">
        <v>615</v>
      </c>
      <c r="K126" s="271" t="s">
        <v>654</v>
      </c>
    </row>
    <row r="127" spans="10:11" ht="15.75" x14ac:dyDescent="0.25">
      <c r="J127" s="288" t="s">
        <v>615</v>
      </c>
      <c r="K127" s="293" t="s">
        <v>655</v>
      </c>
    </row>
    <row r="128" spans="10:11" ht="15.75" x14ac:dyDescent="0.25">
      <c r="J128" s="288" t="s">
        <v>616</v>
      </c>
      <c r="K128" s="280" t="s">
        <v>112</v>
      </c>
    </row>
    <row r="129" spans="10:11" ht="15.75" x14ac:dyDescent="0.25">
      <c r="J129" s="288" t="s">
        <v>113</v>
      </c>
      <c r="K129" s="271" t="s">
        <v>114</v>
      </c>
    </row>
    <row r="130" spans="10:11" ht="15.75" x14ac:dyDescent="0.25">
      <c r="J130" s="288" t="s">
        <v>113</v>
      </c>
      <c r="K130" s="280" t="s">
        <v>115</v>
      </c>
    </row>
    <row r="131" spans="10:11" ht="15.75" x14ac:dyDescent="0.25">
      <c r="J131" s="288" t="s">
        <v>113</v>
      </c>
      <c r="K131" s="271" t="s">
        <v>116</v>
      </c>
    </row>
    <row r="132" spans="10:11" ht="15.75" x14ac:dyDescent="0.25">
      <c r="J132" s="288" t="s">
        <v>113</v>
      </c>
      <c r="K132" s="280" t="s">
        <v>117</v>
      </c>
    </row>
    <row r="133" spans="10:11" ht="15.75" x14ac:dyDescent="0.25">
      <c r="J133" s="288" t="s">
        <v>113</v>
      </c>
      <c r="K133" s="271" t="s">
        <v>118</v>
      </c>
    </row>
    <row r="134" spans="10:11" ht="15.75" x14ac:dyDescent="0.25">
      <c r="J134" s="288" t="s">
        <v>113</v>
      </c>
      <c r="K134" s="280" t="s">
        <v>656</v>
      </c>
    </row>
    <row r="135" spans="10:11" ht="15.75" x14ac:dyDescent="0.25">
      <c r="J135" s="288" t="s">
        <v>113</v>
      </c>
      <c r="K135" s="294" t="s">
        <v>119</v>
      </c>
    </row>
    <row r="136" spans="10:11" ht="15.75" x14ac:dyDescent="0.25">
      <c r="J136" s="288" t="s">
        <v>113</v>
      </c>
      <c r="K136" s="294" t="s">
        <v>120</v>
      </c>
    </row>
    <row r="137" spans="10:11" ht="15.75" x14ac:dyDescent="0.25">
      <c r="J137" s="288" t="s">
        <v>142</v>
      </c>
      <c r="K137" s="293" t="s">
        <v>144</v>
      </c>
    </row>
    <row r="138" spans="10:11" ht="15.75" x14ac:dyDescent="0.25">
      <c r="J138" s="288" t="s">
        <v>142</v>
      </c>
      <c r="K138" s="293" t="s">
        <v>657</v>
      </c>
    </row>
    <row r="139" spans="10:11" ht="15.75" x14ac:dyDescent="0.25">
      <c r="J139" s="288" t="s">
        <v>142</v>
      </c>
      <c r="K139" s="293" t="s">
        <v>143</v>
      </c>
    </row>
    <row r="140" spans="10:11" ht="15.75" x14ac:dyDescent="0.25">
      <c r="J140" s="288" t="s">
        <v>155</v>
      </c>
      <c r="K140" s="293" t="s">
        <v>157</v>
      </c>
    </row>
    <row r="141" spans="10:11" ht="15.75" x14ac:dyDescent="0.25">
      <c r="J141" s="288" t="s">
        <v>155</v>
      </c>
      <c r="K141" s="293" t="s">
        <v>156</v>
      </c>
    </row>
    <row r="142" spans="10:11" ht="15.75" x14ac:dyDescent="0.25">
      <c r="J142" s="288" t="s">
        <v>155</v>
      </c>
      <c r="K142" s="293" t="s">
        <v>158</v>
      </c>
    </row>
    <row r="143" spans="10:11" ht="15.75" x14ac:dyDescent="0.25">
      <c r="J143" s="288" t="s">
        <v>159</v>
      </c>
      <c r="K143" s="293" t="s">
        <v>160</v>
      </c>
    </row>
    <row r="144" spans="10:11" ht="15.75" x14ac:dyDescent="0.25">
      <c r="J144" s="288" t="s">
        <v>159</v>
      </c>
      <c r="K144" s="293" t="s">
        <v>161</v>
      </c>
    </row>
    <row r="145" spans="10:11" ht="15.75" x14ac:dyDescent="0.25">
      <c r="J145" s="288" t="s">
        <v>159</v>
      </c>
      <c r="K145" s="293" t="s">
        <v>162</v>
      </c>
    </row>
    <row r="146" spans="10:11" ht="15.75" x14ac:dyDescent="0.25">
      <c r="J146" s="288" t="s">
        <v>159</v>
      </c>
      <c r="K146" s="293" t="s">
        <v>163</v>
      </c>
    </row>
    <row r="147" spans="10:11" ht="15.75" x14ac:dyDescent="0.25">
      <c r="J147" s="288" t="s">
        <v>159</v>
      </c>
      <c r="K147" s="293" t="s">
        <v>164</v>
      </c>
    </row>
    <row r="148" spans="10:11" ht="15.75" x14ac:dyDescent="0.25">
      <c r="J148" s="288" t="s">
        <v>165</v>
      </c>
      <c r="K148" s="293" t="s">
        <v>167</v>
      </c>
    </row>
    <row r="149" spans="10:11" ht="15.75" x14ac:dyDescent="0.25">
      <c r="J149" s="288" t="s">
        <v>165</v>
      </c>
      <c r="K149" s="293" t="s">
        <v>166</v>
      </c>
    </row>
    <row r="150" spans="10:11" ht="15.75" x14ac:dyDescent="0.25">
      <c r="J150" s="288" t="s">
        <v>165</v>
      </c>
      <c r="K150" s="293" t="s">
        <v>658</v>
      </c>
    </row>
    <row r="151" spans="10:11" ht="15.75" x14ac:dyDescent="0.25">
      <c r="J151" s="288" t="s">
        <v>165</v>
      </c>
      <c r="K151" s="293" t="s">
        <v>168</v>
      </c>
    </row>
    <row r="152" spans="10:11" ht="15.75" x14ac:dyDescent="0.25">
      <c r="J152" s="288" t="s">
        <v>165</v>
      </c>
      <c r="K152" s="293" t="s">
        <v>169</v>
      </c>
    </row>
    <row r="153" spans="10:11" ht="15.75" x14ac:dyDescent="0.25">
      <c r="J153" s="288" t="s">
        <v>165</v>
      </c>
      <c r="K153" s="293" t="s">
        <v>659</v>
      </c>
    </row>
    <row r="154" spans="10:11" ht="15.75" x14ac:dyDescent="0.25">
      <c r="J154" s="288" t="s">
        <v>165</v>
      </c>
      <c r="K154" s="280" t="s">
        <v>178</v>
      </c>
    </row>
    <row r="155" spans="10:11" ht="15.75" x14ac:dyDescent="0.25">
      <c r="J155" s="288" t="s">
        <v>165</v>
      </c>
      <c r="K155" s="293" t="s">
        <v>179</v>
      </c>
    </row>
    <row r="156" spans="10:11" ht="15.75" x14ac:dyDescent="0.25">
      <c r="J156" s="288" t="s">
        <v>165</v>
      </c>
      <c r="K156" s="280" t="s">
        <v>180</v>
      </c>
    </row>
    <row r="157" spans="10:11" ht="15.75" x14ac:dyDescent="0.25">
      <c r="J157" s="288" t="s">
        <v>165</v>
      </c>
      <c r="K157" s="271" t="s">
        <v>660</v>
      </c>
    </row>
    <row r="158" spans="10:11" ht="15.75" x14ac:dyDescent="0.25">
      <c r="J158" s="288" t="s">
        <v>165</v>
      </c>
      <c r="K158" s="271" t="s">
        <v>661</v>
      </c>
    </row>
    <row r="159" spans="10:11" ht="15.75" x14ac:dyDescent="0.25">
      <c r="J159" s="288" t="s">
        <v>165</v>
      </c>
      <c r="K159" s="271" t="s">
        <v>170</v>
      </c>
    </row>
    <row r="160" spans="10:11" ht="15.75" x14ac:dyDescent="0.25">
      <c r="J160" s="288" t="s">
        <v>165</v>
      </c>
      <c r="K160" s="271" t="s">
        <v>662</v>
      </c>
    </row>
    <row r="161" spans="10:11" ht="15.75" x14ac:dyDescent="0.25">
      <c r="J161" s="288" t="s">
        <v>165</v>
      </c>
      <c r="K161" s="271" t="s">
        <v>171</v>
      </c>
    </row>
    <row r="162" spans="10:11" ht="15.75" x14ac:dyDescent="0.25">
      <c r="J162" s="288" t="s">
        <v>165</v>
      </c>
      <c r="K162" s="271" t="s">
        <v>172</v>
      </c>
    </row>
    <row r="163" spans="10:11" ht="15.75" x14ac:dyDescent="0.25">
      <c r="J163" s="288" t="s">
        <v>165</v>
      </c>
      <c r="K163" s="271" t="s">
        <v>173</v>
      </c>
    </row>
    <row r="164" spans="10:11" ht="15.75" x14ac:dyDescent="0.25">
      <c r="J164" s="288" t="s">
        <v>165</v>
      </c>
      <c r="K164" s="280" t="s">
        <v>104</v>
      </c>
    </row>
    <row r="165" spans="10:11" ht="15.75" x14ac:dyDescent="0.25">
      <c r="J165" s="288" t="s">
        <v>165</v>
      </c>
      <c r="K165" s="271" t="s">
        <v>174</v>
      </c>
    </row>
    <row r="166" spans="10:11" ht="15.75" x14ac:dyDescent="0.25">
      <c r="J166" s="288" t="s">
        <v>165</v>
      </c>
      <c r="K166" s="271" t="s">
        <v>175</v>
      </c>
    </row>
    <row r="167" spans="10:11" ht="15.75" x14ac:dyDescent="0.25">
      <c r="J167" s="288" t="s">
        <v>165</v>
      </c>
      <c r="K167" s="271" t="s">
        <v>176</v>
      </c>
    </row>
    <row r="168" spans="10:11" ht="15.75" x14ac:dyDescent="0.25">
      <c r="J168" s="288" t="s">
        <v>165</v>
      </c>
      <c r="K168" s="271" t="s">
        <v>140</v>
      </c>
    </row>
    <row r="169" spans="10:11" ht="15.75" x14ac:dyDescent="0.25">
      <c r="J169" s="288" t="s">
        <v>165</v>
      </c>
      <c r="K169" s="271" t="s">
        <v>663</v>
      </c>
    </row>
    <row r="170" spans="10:11" ht="15.75" x14ac:dyDescent="0.25">
      <c r="J170" s="288" t="s">
        <v>165</v>
      </c>
      <c r="K170" s="271" t="s">
        <v>177</v>
      </c>
    </row>
    <row r="171" spans="10:11" ht="15.75" x14ac:dyDescent="0.25">
      <c r="J171" s="288" t="s">
        <v>165</v>
      </c>
      <c r="K171" s="271" t="s">
        <v>664</v>
      </c>
    </row>
    <row r="172" spans="10:11" ht="15.75" x14ac:dyDescent="0.25">
      <c r="J172" s="288" t="s">
        <v>165</v>
      </c>
      <c r="K172" s="271" t="s">
        <v>665</v>
      </c>
    </row>
    <row r="173" spans="10:11" ht="15.75" x14ac:dyDescent="0.25">
      <c r="J173" s="288" t="s">
        <v>165</v>
      </c>
      <c r="K173" s="280" t="s">
        <v>181</v>
      </c>
    </row>
    <row r="174" spans="10:11" ht="15.75" x14ac:dyDescent="0.25">
      <c r="J174" s="288" t="s">
        <v>182</v>
      </c>
      <c r="K174" s="271" t="s">
        <v>183</v>
      </c>
    </row>
    <row r="175" spans="10:11" ht="15.75" x14ac:dyDescent="0.25">
      <c r="J175" s="288" t="s">
        <v>49</v>
      </c>
      <c r="K175" s="271" t="s">
        <v>184</v>
      </c>
    </row>
    <row r="176" spans="10:11" ht="15.75" x14ac:dyDescent="0.25">
      <c r="J176" s="288" t="s">
        <v>185</v>
      </c>
      <c r="K176" s="271" t="s">
        <v>186</v>
      </c>
    </row>
    <row r="177" spans="10:11" ht="15.75" x14ac:dyDescent="0.25">
      <c r="J177" s="288" t="s">
        <v>185</v>
      </c>
      <c r="K177" s="280" t="s">
        <v>187</v>
      </c>
    </row>
    <row r="178" spans="10:11" ht="15.75" x14ac:dyDescent="0.25">
      <c r="J178" s="288" t="s">
        <v>188</v>
      </c>
      <c r="K178" s="271" t="s">
        <v>189</v>
      </c>
    </row>
    <row r="179" spans="10:11" ht="15.75" x14ac:dyDescent="0.25">
      <c r="J179" s="288" t="s">
        <v>190</v>
      </c>
      <c r="K179" s="271" t="s">
        <v>191</v>
      </c>
    </row>
    <row r="180" spans="10:11" ht="15.75" x14ac:dyDescent="0.25">
      <c r="J180" s="288" t="s">
        <v>190</v>
      </c>
      <c r="K180" s="271" t="s">
        <v>192</v>
      </c>
    </row>
    <row r="181" spans="10:11" ht="15.75" x14ac:dyDescent="0.25">
      <c r="J181" s="288" t="s">
        <v>190</v>
      </c>
      <c r="K181" s="271" t="s">
        <v>666</v>
      </c>
    </row>
    <row r="182" spans="10:11" ht="15.75" x14ac:dyDescent="0.25">
      <c r="J182" s="288" t="s">
        <v>190</v>
      </c>
      <c r="K182" s="271" t="s">
        <v>193</v>
      </c>
    </row>
    <row r="183" spans="10:11" ht="15.75" x14ac:dyDescent="0.25">
      <c r="J183" s="288" t="s">
        <v>190</v>
      </c>
      <c r="K183" s="271" t="s">
        <v>194</v>
      </c>
    </row>
    <row r="184" spans="10:11" ht="15.75" x14ac:dyDescent="0.25">
      <c r="J184" s="288" t="s">
        <v>190</v>
      </c>
      <c r="K184" s="271" t="s">
        <v>195</v>
      </c>
    </row>
    <row r="185" spans="10:11" ht="15.75" x14ac:dyDescent="0.25">
      <c r="J185" s="288" t="s">
        <v>190</v>
      </c>
      <c r="K185" s="271" t="s">
        <v>196</v>
      </c>
    </row>
    <row r="186" spans="10:11" ht="15.75" x14ac:dyDescent="0.25">
      <c r="J186" s="288" t="s">
        <v>617</v>
      </c>
      <c r="K186" s="271" t="s">
        <v>199</v>
      </c>
    </row>
    <row r="187" spans="10:11" ht="15.75" x14ac:dyDescent="0.25">
      <c r="J187" s="288" t="s">
        <v>52</v>
      </c>
      <c r="K187" s="271" t="s">
        <v>200</v>
      </c>
    </row>
    <row r="188" spans="10:11" ht="15.75" x14ac:dyDescent="0.25">
      <c r="J188" s="288" t="s">
        <v>52</v>
      </c>
      <c r="K188" s="271" t="s">
        <v>201</v>
      </c>
    </row>
    <row r="189" spans="10:11" ht="15.75" x14ac:dyDescent="0.25">
      <c r="J189" s="288" t="s">
        <v>202</v>
      </c>
      <c r="K189" s="280" t="s">
        <v>214</v>
      </c>
    </row>
    <row r="190" spans="10:11" ht="15.75" x14ac:dyDescent="0.25">
      <c r="J190" s="288" t="s">
        <v>202</v>
      </c>
      <c r="K190" s="271" t="s">
        <v>203</v>
      </c>
    </row>
    <row r="191" spans="10:11" ht="15.75" x14ac:dyDescent="0.25">
      <c r="J191" s="288" t="s">
        <v>202</v>
      </c>
      <c r="K191" s="271" t="s">
        <v>204</v>
      </c>
    </row>
    <row r="192" spans="10:11" ht="15.75" x14ac:dyDescent="0.25">
      <c r="J192" s="288" t="s">
        <v>202</v>
      </c>
      <c r="K192" s="271" t="s">
        <v>205</v>
      </c>
    </row>
    <row r="193" spans="10:11" ht="15.75" x14ac:dyDescent="0.25">
      <c r="J193" s="288" t="s">
        <v>202</v>
      </c>
      <c r="K193" s="280" t="s">
        <v>206</v>
      </c>
    </row>
    <row r="194" spans="10:11" ht="15.75" x14ac:dyDescent="0.25">
      <c r="J194" s="288" t="s">
        <v>202</v>
      </c>
      <c r="K194" s="271" t="s">
        <v>207</v>
      </c>
    </row>
    <row r="195" spans="10:11" ht="15.75" x14ac:dyDescent="0.25">
      <c r="J195" s="288" t="s">
        <v>202</v>
      </c>
      <c r="K195" s="271" t="s">
        <v>208</v>
      </c>
    </row>
    <row r="196" spans="10:11" ht="15.75" x14ac:dyDescent="0.25">
      <c r="J196" s="288" t="s">
        <v>202</v>
      </c>
      <c r="K196" s="271" t="s">
        <v>667</v>
      </c>
    </row>
    <row r="197" spans="10:11" ht="15.75" x14ac:dyDescent="0.25">
      <c r="J197" s="288" t="s">
        <v>202</v>
      </c>
      <c r="K197" s="271" t="s">
        <v>209</v>
      </c>
    </row>
    <row r="198" spans="10:11" ht="15.75" x14ac:dyDescent="0.25">
      <c r="J198" s="288" t="s">
        <v>202</v>
      </c>
      <c r="K198" s="271" t="s">
        <v>210</v>
      </c>
    </row>
    <row r="199" spans="10:11" ht="15.75" x14ac:dyDescent="0.25">
      <c r="J199" s="288" t="s">
        <v>202</v>
      </c>
      <c r="K199" s="271" t="s">
        <v>212</v>
      </c>
    </row>
    <row r="200" spans="10:11" ht="15.75" x14ac:dyDescent="0.25">
      <c r="J200" s="288" t="s">
        <v>202</v>
      </c>
      <c r="K200" s="293" t="s">
        <v>211</v>
      </c>
    </row>
    <row r="201" spans="10:11" ht="15.75" x14ac:dyDescent="0.25">
      <c r="J201" s="288" t="s">
        <v>202</v>
      </c>
      <c r="K201" s="293" t="s">
        <v>213</v>
      </c>
    </row>
    <row r="202" spans="10:11" ht="15.75" x14ac:dyDescent="0.25">
      <c r="J202" s="288" t="s">
        <v>202</v>
      </c>
      <c r="K202" s="293" t="s">
        <v>215</v>
      </c>
    </row>
    <row r="203" spans="10:11" ht="15.75" x14ac:dyDescent="0.25">
      <c r="J203" s="288" t="s">
        <v>618</v>
      </c>
      <c r="K203" s="293" t="s">
        <v>222</v>
      </c>
    </row>
    <row r="204" spans="10:11" ht="15.75" x14ac:dyDescent="0.25">
      <c r="J204" s="288" t="s">
        <v>618</v>
      </c>
      <c r="K204" s="293" t="s">
        <v>218</v>
      </c>
    </row>
    <row r="205" spans="10:11" ht="15.75" x14ac:dyDescent="0.25">
      <c r="J205" s="288" t="s">
        <v>618</v>
      </c>
      <c r="K205" s="293" t="s">
        <v>219</v>
      </c>
    </row>
    <row r="206" spans="10:11" ht="15.75" x14ac:dyDescent="0.25">
      <c r="J206" s="288" t="s">
        <v>618</v>
      </c>
      <c r="K206" s="293" t="s">
        <v>220</v>
      </c>
    </row>
    <row r="207" spans="10:11" ht="15.75" x14ac:dyDescent="0.25">
      <c r="J207" s="288" t="s">
        <v>618</v>
      </c>
      <c r="K207" s="293" t="s">
        <v>221</v>
      </c>
    </row>
    <row r="208" spans="10:11" ht="15.75" x14ac:dyDescent="0.25">
      <c r="J208" s="288" t="s">
        <v>618</v>
      </c>
      <c r="K208" s="293" t="s">
        <v>216</v>
      </c>
    </row>
    <row r="209" spans="10:11" ht="15.75" x14ac:dyDescent="0.25">
      <c r="J209" s="288" t="s">
        <v>618</v>
      </c>
      <c r="K209" s="293" t="s">
        <v>217</v>
      </c>
    </row>
    <row r="210" spans="10:11" ht="15.75" x14ac:dyDescent="0.25">
      <c r="J210" s="288" t="s">
        <v>67</v>
      </c>
      <c r="K210" s="295" t="s">
        <v>223</v>
      </c>
    </row>
    <row r="211" spans="10:11" ht="15.75" x14ac:dyDescent="0.25">
      <c r="J211" s="288" t="s">
        <v>67</v>
      </c>
      <c r="K211" s="293" t="s">
        <v>225</v>
      </c>
    </row>
    <row r="212" spans="10:11" ht="15.75" x14ac:dyDescent="0.25">
      <c r="J212" s="288" t="s">
        <v>67</v>
      </c>
      <c r="K212" s="293" t="s">
        <v>224</v>
      </c>
    </row>
    <row r="213" spans="10:11" ht="15.75" x14ac:dyDescent="0.25">
      <c r="J213" s="288" t="s">
        <v>226</v>
      </c>
      <c r="K213" s="293" t="s">
        <v>227</v>
      </c>
    </row>
    <row r="214" spans="10:11" ht="15.75" x14ac:dyDescent="0.25">
      <c r="J214" s="288" t="s">
        <v>226</v>
      </c>
      <c r="K214" s="293" t="s">
        <v>228</v>
      </c>
    </row>
    <row r="215" spans="10:11" ht="15.75" x14ac:dyDescent="0.25">
      <c r="J215" s="288" t="s">
        <v>229</v>
      </c>
      <c r="K215" s="293" t="s">
        <v>230</v>
      </c>
    </row>
    <row r="216" spans="10:11" ht="15.75" x14ac:dyDescent="0.25">
      <c r="J216" s="288" t="s">
        <v>229</v>
      </c>
      <c r="K216" s="293" t="s">
        <v>231</v>
      </c>
    </row>
    <row r="217" spans="10:11" ht="15.75" x14ac:dyDescent="0.25">
      <c r="J217" s="288" t="s">
        <v>229</v>
      </c>
      <c r="K217" s="293" t="s">
        <v>668</v>
      </c>
    </row>
    <row r="218" spans="10:11" ht="15.75" x14ac:dyDescent="0.25">
      <c r="J218" s="288" t="s">
        <v>229</v>
      </c>
      <c r="K218" s="293" t="s">
        <v>233</v>
      </c>
    </row>
    <row r="219" spans="10:11" ht="15.75" x14ac:dyDescent="0.25">
      <c r="J219" s="288" t="s">
        <v>229</v>
      </c>
      <c r="K219" s="293" t="s">
        <v>234</v>
      </c>
    </row>
    <row r="220" spans="10:11" ht="15.75" x14ac:dyDescent="0.25">
      <c r="J220" s="288" t="s">
        <v>229</v>
      </c>
      <c r="K220" s="293" t="s">
        <v>235</v>
      </c>
    </row>
    <row r="221" spans="10:11" ht="15.75" x14ac:dyDescent="0.25">
      <c r="J221" s="288" t="s">
        <v>229</v>
      </c>
      <c r="K221" s="293" t="s">
        <v>236</v>
      </c>
    </row>
    <row r="222" spans="10:11" ht="15.75" x14ac:dyDescent="0.25">
      <c r="J222" s="288" t="s">
        <v>229</v>
      </c>
      <c r="K222" s="293" t="s">
        <v>237</v>
      </c>
    </row>
    <row r="223" spans="10:11" ht="15.75" x14ac:dyDescent="0.25">
      <c r="J223" s="288" t="s">
        <v>229</v>
      </c>
      <c r="K223" s="293" t="s">
        <v>232</v>
      </c>
    </row>
    <row r="224" spans="10:11" ht="15.75" x14ac:dyDescent="0.25">
      <c r="J224" s="288" t="s">
        <v>238</v>
      </c>
      <c r="K224" s="293" t="s">
        <v>669</v>
      </c>
    </row>
    <row r="225" spans="10:11" ht="15.75" x14ac:dyDescent="0.25">
      <c r="J225" s="288" t="s">
        <v>238</v>
      </c>
      <c r="K225" s="293" t="s">
        <v>240</v>
      </c>
    </row>
    <row r="226" spans="10:11" ht="15.75" x14ac:dyDescent="0.25">
      <c r="J226" s="288" t="s">
        <v>238</v>
      </c>
      <c r="K226" s="271" t="s">
        <v>241</v>
      </c>
    </row>
    <row r="227" spans="10:11" ht="15.75" x14ac:dyDescent="0.25">
      <c r="J227" s="288" t="s">
        <v>238</v>
      </c>
      <c r="K227" s="271" t="s">
        <v>239</v>
      </c>
    </row>
    <row r="228" spans="10:11" ht="15.75" x14ac:dyDescent="0.25">
      <c r="J228" s="288" t="s">
        <v>242</v>
      </c>
      <c r="K228" s="271" t="s">
        <v>243</v>
      </c>
    </row>
    <row r="229" spans="10:11" ht="15.75" x14ac:dyDescent="0.25">
      <c r="J229" s="288" t="s">
        <v>242</v>
      </c>
      <c r="K229" s="271" t="s">
        <v>244</v>
      </c>
    </row>
    <row r="230" spans="10:11" ht="15.75" x14ac:dyDescent="0.25">
      <c r="J230" s="288" t="s">
        <v>242</v>
      </c>
      <c r="K230" s="271" t="s">
        <v>245</v>
      </c>
    </row>
    <row r="231" spans="10:11" ht="15.75" x14ac:dyDescent="0.25">
      <c r="J231" s="288" t="s">
        <v>246</v>
      </c>
      <c r="K231" s="271" t="s">
        <v>247</v>
      </c>
    </row>
    <row r="232" spans="10:11" ht="15.75" x14ac:dyDescent="0.25">
      <c r="J232" s="288" t="s">
        <v>248</v>
      </c>
      <c r="K232" s="271" t="s">
        <v>670</v>
      </c>
    </row>
    <row r="233" spans="10:11" ht="15.75" x14ac:dyDescent="0.25">
      <c r="J233" s="288" t="s">
        <v>248</v>
      </c>
      <c r="K233" s="271" t="s">
        <v>250</v>
      </c>
    </row>
    <row r="234" spans="10:11" ht="15.75" x14ac:dyDescent="0.25">
      <c r="J234" s="288" t="s">
        <v>619</v>
      </c>
      <c r="K234" s="271" t="s">
        <v>671</v>
      </c>
    </row>
    <row r="235" spans="10:11" ht="15.75" x14ac:dyDescent="0.25">
      <c r="J235" s="288" t="s">
        <v>619</v>
      </c>
      <c r="K235" s="271" t="s">
        <v>252</v>
      </c>
    </row>
    <row r="236" spans="10:11" ht="15.75" x14ac:dyDescent="0.25">
      <c r="J236" s="288" t="s">
        <v>619</v>
      </c>
      <c r="K236" s="271" t="s">
        <v>253</v>
      </c>
    </row>
    <row r="237" spans="10:11" ht="15.75" x14ac:dyDescent="0.25">
      <c r="J237" s="288" t="s">
        <v>619</v>
      </c>
      <c r="K237" s="271" t="s">
        <v>251</v>
      </c>
    </row>
    <row r="238" spans="10:11" ht="15.75" x14ac:dyDescent="0.25">
      <c r="J238" s="288" t="s">
        <v>254</v>
      </c>
      <c r="K238" s="271" t="s">
        <v>672</v>
      </c>
    </row>
    <row r="239" spans="10:11" ht="15.75" x14ac:dyDescent="0.25">
      <c r="J239" s="288" t="s">
        <v>254</v>
      </c>
      <c r="K239" s="271" t="s">
        <v>256</v>
      </c>
    </row>
    <row r="240" spans="10:11" ht="15.75" x14ac:dyDescent="0.25">
      <c r="J240" s="288" t="s">
        <v>254</v>
      </c>
      <c r="K240" s="271" t="s">
        <v>257</v>
      </c>
    </row>
    <row r="241" spans="10:11" ht="15.75" x14ac:dyDescent="0.25">
      <c r="J241" s="288" t="s">
        <v>254</v>
      </c>
      <c r="K241" s="271" t="s">
        <v>673</v>
      </c>
    </row>
    <row r="242" spans="10:11" ht="15.75" x14ac:dyDescent="0.25">
      <c r="J242" s="288" t="s">
        <v>254</v>
      </c>
      <c r="K242" s="271" t="s">
        <v>264</v>
      </c>
    </row>
    <row r="243" spans="10:11" ht="15.75" x14ac:dyDescent="0.25">
      <c r="J243" s="288" t="s">
        <v>254</v>
      </c>
      <c r="K243" s="271" t="s">
        <v>259</v>
      </c>
    </row>
    <row r="244" spans="10:11" ht="15.75" x14ac:dyDescent="0.25">
      <c r="J244" s="288" t="s">
        <v>254</v>
      </c>
      <c r="K244" s="271" t="s">
        <v>674</v>
      </c>
    </row>
    <row r="245" spans="10:11" ht="15.75" x14ac:dyDescent="0.25">
      <c r="J245" s="288" t="s">
        <v>254</v>
      </c>
      <c r="K245" s="271" t="s">
        <v>260</v>
      </c>
    </row>
    <row r="246" spans="10:11" ht="15.75" x14ac:dyDescent="0.25">
      <c r="J246" s="288" t="s">
        <v>254</v>
      </c>
      <c r="K246" s="271" t="s">
        <v>675</v>
      </c>
    </row>
    <row r="247" spans="10:11" ht="15.75" x14ac:dyDescent="0.25">
      <c r="J247" s="288" t="s">
        <v>254</v>
      </c>
      <c r="K247" s="271" t="s">
        <v>261</v>
      </c>
    </row>
    <row r="248" spans="10:11" ht="15.75" x14ac:dyDescent="0.25">
      <c r="J248" s="288" t="s">
        <v>254</v>
      </c>
      <c r="K248" s="271" t="s">
        <v>262</v>
      </c>
    </row>
    <row r="249" spans="10:11" ht="15.75" x14ac:dyDescent="0.25">
      <c r="J249" s="288" t="s">
        <v>254</v>
      </c>
      <c r="K249" s="271" t="s">
        <v>676</v>
      </c>
    </row>
    <row r="250" spans="10:11" ht="15.75" x14ac:dyDescent="0.25">
      <c r="J250" s="288" t="s">
        <v>254</v>
      </c>
      <c r="K250" s="271" t="s">
        <v>1656</v>
      </c>
    </row>
    <row r="251" spans="10:11" ht="15.75" x14ac:dyDescent="0.25">
      <c r="J251" s="288" t="s">
        <v>254</v>
      </c>
      <c r="K251" s="271" t="s">
        <v>263</v>
      </c>
    </row>
    <row r="252" spans="10:11" ht="15.75" x14ac:dyDescent="0.25">
      <c r="J252" s="288" t="s">
        <v>254</v>
      </c>
      <c r="K252" s="271" t="s">
        <v>677</v>
      </c>
    </row>
    <row r="253" spans="10:11" ht="15.75" x14ac:dyDescent="0.25">
      <c r="J253" s="288" t="s">
        <v>254</v>
      </c>
      <c r="K253" s="271" t="s">
        <v>258</v>
      </c>
    </row>
    <row r="254" spans="10:11" ht="15.75" x14ac:dyDescent="0.25">
      <c r="J254" s="288" t="s">
        <v>265</v>
      </c>
      <c r="K254" s="271" t="s">
        <v>678</v>
      </c>
    </row>
    <row r="255" spans="10:11" ht="15.75" x14ac:dyDescent="0.25">
      <c r="J255" s="288" t="s">
        <v>265</v>
      </c>
      <c r="K255" s="271" t="s">
        <v>266</v>
      </c>
    </row>
    <row r="256" spans="10:11" ht="15.75" x14ac:dyDescent="0.25">
      <c r="J256" s="288" t="s">
        <v>267</v>
      </c>
      <c r="K256" s="271" t="s">
        <v>268</v>
      </c>
    </row>
    <row r="257" spans="10:11" ht="15.75" x14ac:dyDescent="0.25">
      <c r="J257" s="288" t="s">
        <v>620</v>
      </c>
      <c r="K257" s="271" t="s">
        <v>9</v>
      </c>
    </row>
    <row r="258" spans="10:11" ht="15.75" x14ac:dyDescent="0.25">
      <c r="J258" s="288" t="s">
        <v>620</v>
      </c>
      <c r="K258" s="271" t="s">
        <v>10</v>
      </c>
    </row>
    <row r="259" spans="10:11" ht="15.75" x14ac:dyDescent="0.25">
      <c r="J259" s="288" t="s">
        <v>620</v>
      </c>
      <c r="K259" s="271" t="s">
        <v>11</v>
      </c>
    </row>
    <row r="260" spans="10:11" ht="15.75" x14ac:dyDescent="0.25">
      <c r="J260" s="288" t="s">
        <v>620</v>
      </c>
      <c r="K260" s="271" t="s">
        <v>12</v>
      </c>
    </row>
    <row r="261" spans="10:11" ht="15.75" x14ac:dyDescent="0.25">
      <c r="J261" s="288" t="s">
        <v>269</v>
      </c>
      <c r="K261" s="271" t="s">
        <v>270</v>
      </c>
    </row>
    <row r="262" spans="10:11" ht="15.75" x14ac:dyDescent="0.25">
      <c r="J262" s="288" t="s">
        <v>269</v>
      </c>
      <c r="K262" s="271" t="s">
        <v>271</v>
      </c>
    </row>
    <row r="263" spans="10:11" ht="15.75" x14ac:dyDescent="0.25">
      <c r="J263" s="288" t="s">
        <v>269</v>
      </c>
      <c r="K263" s="271" t="s">
        <v>272</v>
      </c>
    </row>
    <row r="264" spans="10:11" ht="15.75" x14ac:dyDescent="0.25">
      <c r="J264" s="288" t="s">
        <v>269</v>
      </c>
      <c r="K264" s="271" t="s">
        <v>273</v>
      </c>
    </row>
    <row r="265" spans="10:11" ht="15.75" x14ac:dyDescent="0.25">
      <c r="J265" s="288" t="s">
        <v>269</v>
      </c>
      <c r="K265" s="271" t="s">
        <v>274</v>
      </c>
    </row>
    <row r="266" spans="10:11" ht="15.75" x14ac:dyDescent="0.25">
      <c r="J266" s="288" t="s">
        <v>275</v>
      </c>
      <c r="K266" s="271" t="s">
        <v>276</v>
      </c>
    </row>
    <row r="267" spans="10:11" ht="15.75" x14ac:dyDescent="0.25">
      <c r="J267" s="288" t="s">
        <v>275</v>
      </c>
      <c r="K267" s="271" t="s">
        <v>1655</v>
      </c>
    </row>
    <row r="268" spans="10:11" ht="15.75" x14ac:dyDescent="0.25">
      <c r="J268" s="288" t="s">
        <v>275</v>
      </c>
      <c r="K268" s="271" t="s">
        <v>277</v>
      </c>
    </row>
    <row r="269" spans="10:11" ht="15.75" x14ac:dyDescent="0.25">
      <c r="J269" s="288" t="s">
        <v>275</v>
      </c>
      <c r="K269" s="271" t="s">
        <v>279</v>
      </c>
    </row>
    <row r="270" spans="10:11" ht="15.75" x14ac:dyDescent="0.25">
      <c r="J270" s="288" t="s">
        <v>275</v>
      </c>
      <c r="K270" s="271" t="s">
        <v>280</v>
      </c>
    </row>
    <row r="271" spans="10:11" ht="15.75" x14ac:dyDescent="0.25">
      <c r="J271" s="288" t="s">
        <v>275</v>
      </c>
      <c r="K271" s="271" t="s">
        <v>281</v>
      </c>
    </row>
    <row r="272" spans="10:11" ht="15.75" x14ac:dyDescent="0.25">
      <c r="J272" s="288" t="s">
        <v>275</v>
      </c>
      <c r="K272" s="271" t="s">
        <v>679</v>
      </c>
    </row>
    <row r="273" spans="10:11" ht="15.75" x14ac:dyDescent="0.25">
      <c r="J273" s="288" t="s">
        <v>275</v>
      </c>
      <c r="K273" s="271" t="s">
        <v>680</v>
      </c>
    </row>
    <row r="274" spans="10:11" ht="15.75" x14ac:dyDescent="0.25">
      <c r="J274" s="288" t="s">
        <v>275</v>
      </c>
      <c r="K274" s="271" t="s">
        <v>282</v>
      </c>
    </row>
    <row r="275" spans="10:11" ht="15.75" x14ac:dyDescent="0.25">
      <c r="J275" s="288" t="s">
        <v>275</v>
      </c>
      <c r="K275" s="271" t="s">
        <v>278</v>
      </c>
    </row>
    <row r="276" spans="10:11" ht="15.75" x14ac:dyDescent="0.25">
      <c r="J276" s="288" t="s">
        <v>2</v>
      </c>
      <c r="K276" s="271" t="s">
        <v>283</v>
      </c>
    </row>
    <row r="277" spans="10:11" ht="15.75" x14ac:dyDescent="0.25">
      <c r="J277" s="288" t="s">
        <v>2</v>
      </c>
      <c r="K277" s="271" t="s">
        <v>284</v>
      </c>
    </row>
    <row r="278" spans="10:11" ht="15.75" x14ac:dyDescent="0.25">
      <c r="J278" s="288" t="s">
        <v>2</v>
      </c>
      <c r="K278" s="271" t="s">
        <v>94</v>
      </c>
    </row>
    <row r="279" spans="10:11" ht="15.75" x14ac:dyDescent="0.25">
      <c r="J279" s="288" t="s">
        <v>68</v>
      </c>
      <c r="K279" s="271" t="s">
        <v>69</v>
      </c>
    </row>
    <row r="280" spans="10:11" ht="15.75" x14ac:dyDescent="0.25">
      <c r="J280" s="288" t="s">
        <v>68</v>
      </c>
      <c r="K280" s="271" t="s">
        <v>70</v>
      </c>
    </row>
    <row r="281" spans="10:11" ht="15.75" x14ac:dyDescent="0.25">
      <c r="J281" s="288" t="s">
        <v>98</v>
      </c>
      <c r="K281" s="271" t="s">
        <v>99</v>
      </c>
    </row>
    <row r="282" spans="10:11" ht="15.75" x14ac:dyDescent="0.25">
      <c r="J282" s="288" t="s">
        <v>458</v>
      </c>
      <c r="K282" s="271" t="s">
        <v>285</v>
      </c>
    </row>
    <row r="283" spans="10:11" ht="15.75" x14ac:dyDescent="0.25">
      <c r="J283" s="288" t="s">
        <v>329</v>
      </c>
      <c r="K283" s="271" t="s">
        <v>330</v>
      </c>
    </row>
    <row r="284" spans="10:11" ht="15.75" x14ac:dyDescent="0.25">
      <c r="J284" s="288" t="s">
        <v>329</v>
      </c>
      <c r="K284" s="271" t="s">
        <v>331</v>
      </c>
    </row>
    <row r="285" spans="10:11" ht="15.75" x14ac:dyDescent="0.25">
      <c r="J285" s="288" t="s">
        <v>329</v>
      </c>
      <c r="K285" s="271" t="s">
        <v>332</v>
      </c>
    </row>
    <row r="286" spans="10:11" ht="15.75" x14ac:dyDescent="0.25">
      <c r="J286" s="288" t="s">
        <v>329</v>
      </c>
      <c r="K286" s="271" t="s">
        <v>333</v>
      </c>
    </row>
    <row r="287" spans="10:11" ht="15.75" x14ac:dyDescent="0.25">
      <c r="J287" s="288" t="s">
        <v>329</v>
      </c>
      <c r="K287" s="271" t="s">
        <v>334</v>
      </c>
    </row>
    <row r="288" spans="10:11" ht="15.75" x14ac:dyDescent="0.25">
      <c r="J288" s="288" t="s">
        <v>329</v>
      </c>
      <c r="K288" s="271" t="s">
        <v>681</v>
      </c>
    </row>
    <row r="289" spans="10:11" ht="15.75" x14ac:dyDescent="0.25">
      <c r="J289" s="288" t="s">
        <v>329</v>
      </c>
      <c r="K289" s="271" t="s">
        <v>335</v>
      </c>
    </row>
    <row r="290" spans="10:11" ht="15.75" x14ac:dyDescent="0.25">
      <c r="J290" s="288" t="s">
        <v>145</v>
      </c>
      <c r="K290" s="271" t="s">
        <v>153</v>
      </c>
    </row>
    <row r="291" spans="10:11" ht="15.75" x14ac:dyDescent="0.25">
      <c r="J291" s="288" t="s">
        <v>145</v>
      </c>
      <c r="K291" s="271" t="s">
        <v>154</v>
      </c>
    </row>
    <row r="292" spans="10:11" ht="15.75" x14ac:dyDescent="0.25">
      <c r="J292" s="288" t="s">
        <v>145</v>
      </c>
      <c r="K292" s="271" t="s">
        <v>682</v>
      </c>
    </row>
    <row r="293" spans="10:11" ht="15.75" x14ac:dyDescent="0.25">
      <c r="J293" s="288" t="s">
        <v>145</v>
      </c>
      <c r="K293" s="271" t="s">
        <v>147</v>
      </c>
    </row>
    <row r="294" spans="10:11" ht="15.75" x14ac:dyDescent="0.25">
      <c r="J294" s="288" t="s">
        <v>145</v>
      </c>
      <c r="K294" s="271" t="s">
        <v>146</v>
      </c>
    </row>
    <row r="295" spans="10:11" ht="15.75" x14ac:dyDescent="0.25">
      <c r="J295" s="288" t="s">
        <v>145</v>
      </c>
      <c r="K295" s="271" t="s">
        <v>148</v>
      </c>
    </row>
    <row r="296" spans="10:11" ht="15.75" x14ac:dyDescent="0.25">
      <c r="J296" s="288" t="s">
        <v>145</v>
      </c>
      <c r="K296" s="271" t="s">
        <v>683</v>
      </c>
    </row>
    <row r="297" spans="10:11" ht="15.75" x14ac:dyDescent="0.25">
      <c r="J297" s="288" t="s">
        <v>145</v>
      </c>
      <c r="K297" s="271" t="s">
        <v>152</v>
      </c>
    </row>
    <row r="298" spans="10:11" ht="15.75" x14ac:dyDescent="0.25">
      <c r="J298" s="288" t="s">
        <v>145</v>
      </c>
      <c r="K298" s="271" t="s">
        <v>151</v>
      </c>
    </row>
    <row r="299" spans="10:11" ht="15.75" x14ac:dyDescent="0.25">
      <c r="J299" s="288" t="s">
        <v>145</v>
      </c>
      <c r="K299" s="271" t="s">
        <v>150</v>
      </c>
    </row>
    <row r="300" spans="10:11" ht="15.75" x14ac:dyDescent="0.25">
      <c r="J300" s="288" t="s">
        <v>145</v>
      </c>
      <c r="K300" s="271" t="s">
        <v>149</v>
      </c>
    </row>
    <row r="301" spans="10:11" ht="15.75" x14ac:dyDescent="0.25">
      <c r="J301" s="288" t="s">
        <v>197</v>
      </c>
      <c r="K301" s="271" t="s">
        <v>198</v>
      </c>
    </row>
    <row r="302" spans="10:11" ht="15.75" x14ac:dyDescent="0.25">
      <c r="J302" s="288" t="s">
        <v>288</v>
      </c>
      <c r="K302" s="271" t="s">
        <v>289</v>
      </c>
    </row>
    <row r="303" spans="10:11" ht="15.75" x14ac:dyDescent="0.25">
      <c r="J303" s="288" t="s">
        <v>336</v>
      </c>
      <c r="K303" s="271" t="s">
        <v>337</v>
      </c>
    </row>
    <row r="304" spans="10:11" ht="15.75" x14ac:dyDescent="0.25">
      <c r="J304" s="288" t="s">
        <v>336</v>
      </c>
      <c r="K304" s="271" t="s">
        <v>338</v>
      </c>
    </row>
    <row r="305" spans="10:11" ht="15.75" x14ac:dyDescent="0.25">
      <c r="J305" s="288" t="s">
        <v>336</v>
      </c>
      <c r="K305" s="271" t="s">
        <v>339</v>
      </c>
    </row>
    <row r="306" spans="10:11" ht="15.75" x14ac:dyDescent="0.25">
      <c r="J306" s="288" t="s">
        <v>336</v>
      </c>
      <c r="K306" s="271" t="s">
        <v>340</v>
      </c>
    </row>
    <row r="307" spans="10:11" ht="15.75" x14ac:dyDescent="0.25">
      <c r="J307" s="288" t="s">
        <v>336</v>
      </c>
      <c r="K307" s="271" t="s">
        <v>341</v>
      </c>
    </row>
    <row r="308" spans="10:11" ht="15.75" x14ac:dyDescent="0.25">
      <c r="J308" s="288" t="s">
        <v>336</v>
      </c>
      <c r="K308" s="271" t="s">
        <v>342</v>
      </c>
    </row>
    <row r="309" spans="10:11" ht="15.75" x14ac:dyDescent="0.25">
      <c r="J309" s="288" t="s">
        <v>336</v>
      </c>
      <c r="K309" s="271" t="s">
        <v>374</v>
      </c>
    </row>
    <row r="310" spans="10:11" ht="15.75" x14ac:dyDescent="0.25">
      <c r="J310" s="288" t="s">
        <v>336</v>
      </c>
      <c r="K310" s="271" t="s">
        <v>375</v>
      </c>
    </row>
    <row r="311" spans="10:11" ht="15.75" x14ac:dyDescent="0.25">
      <c r="J311" s="288" t="s">
        <v>336</v>
      </c>
      <c r="K311" s="271" t="s">
        <v>376</v>
      </c>
    </row>
    <row r="312" spans="10:11" ht="15.75" x14ac:dyDescent="0.25">
      <c r="J312" s="288" t="s">
        <v>336</v>
      </c>
      <c r="K312" s="271" t="s">
        <v>377</v>
      </c>
    </row>
    <row r="313" spans="10:11" ht="15.75" x14ac:dyDescent="0.25">
      <c r="J313" s="288" t="s">
        <v>336</v>
      </c>
      <c r="K313" s="271" t="s">
        <v>346</v>
      </c>
    </row>
    <row r="314" spans="10:11" ht="15.75" x14ac:dyDescent="0.25">
      <c r="J314" s="288" t="s">
        <v>336</v>
      </c>
      <c r="K314" s="271" t="s">
        <v>347</v>
      </c>
    </row>
    <row r="315" spans="10:11" ht="15.75" x14ac:dyDescent="0.25">
      <c r="J315" s="288" t="s">
        <v>336</v>
      </c>
      <c r="K315" s="271" t="s">
        <v>348</v>
      </c>
    </row>
    <row r="316" spans="10:11" ht="15.75" x14ac:dyDescent="0.25">
      <c r="J316" s="288" t="s">
        <v>336</v>
      </c>
      <c r="K316" s="271" t="s">
        <v>345</v>
      </c>
    </row>
    <row r="317" spans="10:11" ht="15.75" x14ac:dyDescent="0.25">
      <c r="J317" s="288" t="s">
        <v>336</v>
      </c>
      <c r="K317" s="271" t="s">
        <v>349</v>
      </c>
    </row>
    <row r="318" spans="10:11" ht="15.75" x14ac:dyDescent="0.25">
      <c r="J318" s="288" t="s">
        <v>336</v>
      </c>
      <c r="K318" s="271" t="s">
        <v>379</v>
      </c>
    </row>
    <row r="319" spans="10:11" ht="15.75" x14ac:dyDescent="0.25">
      <c r="J319" s="288" t="s">
        <v>336</v>
      </c>
      <c r="K319" s="271" t="s">
        <v>380</v>
      </c>
    </row>
    <row r="320" spans="10:11" ht="15.75" x14ac:dyDescent="0.25">
      <c r="J320" s="288" t="s">
        <v>336</v>
      </c>
      <c r="K320" s="271" t="s">
        <v>350</v>
      </c>
    </row>
    <row r="321" spans="10:11" ht="15.75" x14ac:dyDescent="0.25">
      <c r="J321" s="288" t="s">
        <v>336</v>
      </c>
      <c r="K321" s="271" t="s">
        <v>684</v>
      </c>
    </row>
    <row r="322" spans="10:11" ht="15.75" x14ac:dyDescent="0.25">
      <c r="J322" s="288" t="s">
        <v>336</v>
      </c>
      <c r="K322" s="271" t="s">
        <v>685</v>
      </c>
    </row>
    <row r="323" spans="10:11" ht="15.75" x14ac:dyDescent="0.25">
      <c r="J323" s="288" t="s">
        <v>336</v>
      </c>
      <c r="K323" s="271" t="s">
        <v>351</v>
      </c>
    </row>
    <row r="324" spans="10:11" ht="15.75" x14ac:dyDescent="0.25">
      <c r="J324" s="288" t="s">
        <v>336</v>
      </c>
      <c r="K324" s="271" t="s">
        <v>352</v>
      </c>
    </row>
    <row r="325" spans="10:11" ht="15.75" x14ac:dyDescent="0.25">
      <c r="J325" s="288" t="s">
        <v>336</v>
      </c>
      <c r="K325" s="271" t="s">
        <v>353</v>
      </c>
    </row>
    <row r="326" spans="10:11" ht="15.75" x14ac:dyDescent="0.25">
      <c r="J326" s="288" t="s">
        <v>336</v>
      </c>
      <c r="K326" s="271" t="s">
        <v>354</v>
      </c>
    </row>
    <row r="327" spans="10:11" ht="15.75" x14ac:dyDescent="0.25">
      <c r="J327" s="288" t="s">
        <v>336</v>
      </c>
      <c r="K327" s="271" t="s">
        <v>355</v>
      </c>
    </row>
    <row r="328" spans="10:11" ht="15.75" x14ac:dyDescent="0.25">
      <c r="J328" s="288" t="s">
        <v>336</v>
      </c>
      <c r="K328" s="271" t="s">
        <v>356</v>
      </c>
    </row>
    <row r="329" spans="10:11" ht="15.75" x14ac:dyDescent="0.25">
      <c r="J329" s="288" t="s">
        <v>336</v>
      </c>
      <c r="K329" s="271" t="s">
        <v>359</v>
      </c>
    </row>
    <row r="330" spans="10:11" ht="15.75" x14ac:dyDescent="0.25">
      <c r="J330" s="288" t="s">
        <v>336</v>
      </c>
      <c r="K330" s="271" t="s">
        <v>357</v>
      </c>
    </row>
    <row r="331" spans="10:11" ht="15.75" x14ac:dyDescent="0.25">
      <c r="J331" s="288" t="s">
        <v>336</v>
      </c>
      <c r="K331" s="271" t="s">
        <v>358</v>
      </c>
    </row>
    <row r="332" spans="10:11" ht="15.75" x14ac:dyDescent="0.25">
      <c r="J332" s="288" t="s">
        <v>336</v>
      </c>
      <c r="K332" s="271" t="s">
        <v>686</v>
      </c>
    </row>
    <row r="333" spans="10:11" ht="15.75" x14ac:dyDescent="0.25">
      <c r="J333" s="288" t="s">
        <v>336</v>
      </c>
      <c r="K333" s="271" t="s">
        <v>360</v>
      </c>
    </row>
    <row r="334" spans="10:11" ht="15.75" x14ac:dyDescent="0.25">
      <c r="J334" s="288" t="s">
        <v>336</v>
      </c>
      <c r="K334" s="271" t="s">
        <v>361</v>
      </c>
    </row>
    <row r="335" spans="10:11" ht="15.75" x14ac:dyDescent="0.25">
      <c r="J335" s="288" t="s">
        <v>336</v>
      </c>
      <c r="K335" s="271" t="s">
        <v>363</v>
      </c>
    </row>
    <row r="336" spans="10:11" ht="15.75" x14ac:dyDescent="0.25">
      <c r="J336" s="288" t="s">
        <v>336</v>
      </c>
      <c r="K336" s="271" t="s">
        <v>365</v>
      </c>
    </row>
    <row r="337" spans="10:11" ht="15.75" x14ac:dyDescent="0.25">
      <c r="J337" s="288" t="s">
        <v>336</v>
      </c>
      <c r="K337" s="271" t="s">
        <v>364</v>
      </c>
    </row>
    <row r="338" spans="10:11" ht="15.75" x14ac:dyDescent="0.25">
      <c r="J338" s="288" t="s">
        <v>336</v>
      </c>
      <c r="K338" s="271" t="s">
        <v>366</v>
      </c>
    </row>
    <row r="339" spans="10:11" ht="15.75" x14ac:dyDescent="0.25">
      <c r="J339" s="288" t="s">
        <v>336</v>
      </c>
      <c r="K339" s="271" t="s">
        <v>687</v>
      </c>
    </row>
    <row r="340" spans="10:11" ht="15.75" x14ac:dyDescent="0.25">
      <c r="J340" s="288" t="s">
        <v>336</v>
      </c>
      <c r="K340" s="271" t="s">
        <v>367</v>
      </c>
    </row>
    <row r="341" spans="10:11" ht="15.75" x14ac:dyDescent="0.25">
      <c r="J341" s="288" t="s">
        <v>336</v>
      </c>
      <c r="K341" s="271" t="s">
        <v>368</v>
      </c>
    </row>
    <row r="342" spans="10:11" ht="15.75" x14ac:dyDescent="0.25">
      <c r="J342" s="288" t="s">
        <v>336</v>
      </c>
      <c r="K342" s="271" t="s">
        <v>369</v>
      </c>
    </row>
    <row r="343" spans="10:11" ht="15.75" x14ac:dyDescent="0.25">
      <c r="J343" s="288" t="s">
        <v>336</v>
      </c>
      <c r="K343" s="271" t="s">
        <v>688</v>
      </c>
    </row>
    <row r="344" spans="10:11" ht="15.75" x14ac:dyDescent="0.25">
      <c r="J344" s="288" t="s">
        <v>336</v>
      </c>
      <c r="K344" s="271" t="s">
        <v>370</v>
      </c>
    </row>
    <row r="345" spans="10:11" ht="15.75" x14ac:dyDescent="0.25">
      <c r="J345" s="288" t="s">
        <v>336</v>
      </c>
      <c r="K345" s="271" t="s">
        <v>371</v>
      </c>
    </row>
    <row r="346" spans="10:11" ht="15.75" x14ac:dyDescent="0.25">
      <c r="J346" s="288" t="s">
        <v>336</v>
      </c>
      <c r="K346" s="271" t="s">
        <v>372</v>
      </c>
    </row>
    <row r="347" spans="10:11" ht="15.75" x14ac:dyDescent="0.25">
      <c r="J347" s="288" t="s">
        <v>336</v>
      </c>
      <c r="K347" s="271" t="s">
        <v>373</v>
      </c>
    </row>
    <row r="348" spans="10:11" ht="15.75" x14ac:dyDescent="0.25">
      <c r="J348" s="288" t="s">
        <v>336</v>
      </c>
      <c r="K348" s="271" t="s">
        <v>343</v>
      </c>
    </row>
    <row r="349" spans="10:11" ht="15.75" x14ac:dyDescent="0.25">
      <c r="J349" s="288" t="s">
        <v>336</v>
      </c>
      <c r="K349" s="271" t="s">
        <v>344</v>
      </c>
    </row>
    <row r="350" spans="10:11" ht="15.75" x14ac:dyDescent="0.25">
      <c r="J350" s="288" t="s">
        <v>336</v>
      </c>
      <c r="K350" s="271" t="s">
        <v>362</v>
      </c>
    </row>
    <row r="351" spans="10:11" ht="15.75" x14ac:dyDescent="0.25">
      <c r="J351" s="288" t="s">
        <v>336</v>
      </c>
      <c r="K351" s="271" t="s">
        <v>689</v>
      </c>
    </row>
    <row r="352" spans="10:11" ht="15.75" x14ac:dyDescent="0.25">
      <c r="J352" s="288" t="s">
        <v>336</v>
      </c>
      <c r="K352" s="271" t="s">
        <v>378</v>
      </c>
    </row>
    <row r="353" spans="10:11" ht="15.75" x14ac:dyDescent="0.25">
      <c r="J353" s="288" t="s">
        <v>621</v>
      </c>
      <c r="K353" s="271" t="s">
        <v>290</v>
      </c>
    </row>
    <row r="354" spans="10:11" ht="15.75" x14ac:dyDescent="0.25">
      <c r="J354" s="288" t="s">
        <v>381</v>
      </c>
      <c r="K354" s="271" t="s">
        <v>382</v>
      </c>
    </row>
    <row r="355" spans="10:11" ht="15.75" x14ac:dyDescent="0.25">
      <c r="J355" s="288" t="s">
        <v>381</v>
      </c>
      <c r="K355" s="271" t="s">
        <v>383</v>
      </c>
    </row>
    <row r="356" spans="10:11" ht="15.75" x14ac:dyDescent="0.25">
      <c r="J356" s="288" t="s">
        <v>381</v>
      </c>
      <c r="K356" s="271" t="s">
        <v>384</v>
      </c>
    </row>
    <row r="357" spans="10:11" ht="15.75" x14ac:dyDescent="0.25">
      <c r="J357" s="288" t="s">
        <v>622</v>
      </c>
      <c r="K357" s="271" t="s">
        <v>391</v>
      </c>
    </row>
    <row r="358" spans="10:11" ht="15.75" x14ac:dyDescent="0.25">
      <c r="J358" s="288" t="s">
        <v>623</v>
      </c>
      <c r="K358" s="271" t="s">
        <v>286</v>
      </c>
    </row>
    <row r="359" spans="10:11" ht="15.75" x14ac:dyDescent="0.25">
      <c r="J359" s="288" t="s">
        <v>623</v>
      </c>
      <c r="K359" s="271" t="s">
        <v>287</v>
      </c>
    </row>
    <row r="360" spans="10:11" ht="15.75" x14ac:dyDescent="0.25">
      <c r="J360" s="288" t="s">
        <v>291</v>
      </c>
      <c r="K360" s="271" t="s">
        <v>292</v>
      </c>
    </row>
    <row r="361" spans="10:11" ht="15.75" x14ac:dyDescent="0.25">
      <c r="J361" s="288" t="s">
        <v>291</v>
      </c>
      <c r="K361" s="271" t="s">
        <v>690</v>
      </c>
    </row>
    <row r="362" spans="10:11" ht="15.75" x14ac:dyDescent="0.25">
      <c r="J362" s="288" t="s">
        <v>291</v>
      </c>
      <c r="K362" s="271" t="s">
        <v>1617</v>
      </c>
    </row>
    <row r="363" spans="10:11" ht="15.75" x14ac:dyDescent="0.25">
      <c r="J363" s="288" t="s">
        <v>294</v>
      </c>
      <c r="K363" s="271" t="s">
        <v>295</v>
      </c>
    </row>
    <row r="364" spans="10:11" ht="15.75" x14ac:dyDescent="0.25">
      <c r="J364" s="288" t="s">
        <v>307</v>
      </c>
      <c r="K364" s="271" t="s">
        <v>308</v>
      </c>
    </row>
    <row r="365" spans="10:11" ht="15.75" x14ac:dyDescent="0.25">
      <c r="J365" s="288" t="s">
        <v>624</v>
      </c>
      <c r="K365" s="271" t="s">
        <v>691</v>
      </c>
    </row>
    <row r="366" spans="10:11" ht="15.75" x14ac:dyDescent="0.25">
      <c r="J366" s="288" t="s">
        <v>249</v>
      </c>
      <c r="K366" s="271" t="s">
        <v>309</v>
      </c>
    </row>
    <row r="367" spans="10:11" ht="15.75" x14ac:dyDescent="0.25">
      <c r="J367" s="288" t="s">
        <v>249</v>
      </c>
      <c r="K367" s="288" t="s">
        <v>310</v>
      </c>
    </row>
    <row r="368" spans="10:11" ht="15.75" x14ac:dyDescent="0.25">
      <c r="J368" s="288" t="s">
        <v>249</v>
      </c>
      <c r="K368" s="271" t="s">
        <v>311</v>
      </c>
    </row>
    <row r="369" spans="10:11" ht="15.75" x14ac:dyDescent="0.25">
      <c r="J369" s="288" t="s">
        <v>296</v>
      </c>
      <c r="K369" s="271" t="s">
        <v>692</v>
      </c>
    </row>
    <row r="370" spans="10:11" ht="15.75" x14ac:dyDescent="0.25">
      <c r="J370" s="288" t="s">
        <v>296</v>
      </c>
      <c r="K370" s="271" t="s">
        <v>297</v>
      </c>
    </row>
    <row r="371" spans="10:11" ht="15.75" x14ac:dyDescent="0.25">
      <c r="J371" s="288" t="s">
        <v>296</v>
      </c>
      <c r="K371" s="271" t="s">
        <v>298</v>
      </c>
    </row>
    <row r="372" spans="10:11" ht="15.75" x14ac:dyDescent="0.25">
      <c r="J372" s="288" t="s">
        <v>296</v>
      </c>
      <c r="K372" s="271" t="s">
        <v>299</v>
      </c>
    </row>
    <row r="373" spans="10:11" ht="15.75" x14ac:dyDescent="0.25">
      <c r="J373" s="288" t="s">
        <v>296</v>
      </c>
      <c r="K373" s="271" t="s">
        <v>300</v>
      </c>
    </row>
    <row r="374" spans="10:11" ht="15.75" x14ac:dyDescent="0.25">
      <c r="J374" s="288" t="s">
        <v>296</v>
      </c>
      <c r="K374" s="271" t="s">
        <v>301</v>
      </c>
    </row>
    <row r="375" spans="10:11" ht="15.75" x14ac:dyDescent="0.25">
      <c r="J375" s="288" t="s">
        <v>296</v>
      </c>
      <c r="K375" s="271" t="s">
        <v>302</v>
      </c>
    </row>
    <row r="376" spans="10:11" ht="15.75" x14ac:dyDescent="0.25">
      <c r="J376" s="288" t="s">
        <v>296</v>
      </c>
      <c r="K376" s="271" t="s">
        <v>303</v>
      </c>
    </row>
    <row r="377" spans="10:11" ht="15.75" x14ac:dyDescent="0.25">
      <c r="J377" s="288" t="s">
        <v>296</v>
      </c>
      <c r="K377" s="271" t="s">
        <v>304</v>
      </c>
    </row>
    <row r="378" spans="10:11" ht="15.75" x14ac:dyDescent="0.25">
      <c r="J378" s="288" t="s">
        <v>296</v>
      </c>
      <c r="K378" s="271" t="s">
        <v>305</v>
      </c>
    </row>
    <row r="379" spans="10:11" ht="15.75" x14ac:dyDescent="0.25">
      <c r="J379" s="288" t="s">
        <v>296</v>
      </c>
      <c r="K379" s="271" t="s">
        <v>306</v>
      </c>
    </row>
    <row r="380" spans="10:11" ht="15.75" x14ac:dyDescent="0.25">
      <c r="J380" s="288" t="s">
        <v>296</v>
      </c>
      <c r="K380" s="271" t="s">
        <v>693</v>
      </c>
    </row>
    <row r="381" spans="10:11" ht="15.75" x14ac:dyDescent="0.25">
      <c r="J381" s="288" t="s">
        <v>296</v>
      </c>
      <c r="K381" s="271" t="s">
        <v>694</v>
      </c>
    </row>
    <row r="382" spans="10:11" ht="15.75" x14ac:dyDescent="0.25">
      <c r="J382" s="288" t="s">
        <v>296</v>
      </c>
      <c r="K382" s="271" t="s">
        <v>695</v>
      </c>
    </row>
    <row r="383" spans="10:11" ht="15.75" x14ac:dyDescent="0.25">
      <c r="J383" s="288" t="s">
        <v>296</v>
      </c>
      <c r="K383" s="271" t="s">
        <v>696</v>
      </c>
    </row>
    <row r="384" spans="10:11" ht="15.75" x14ac:dyDescent="0.25">
      <c r="J384" s="288" t="s">
        <v>320</v>
      </c>
      <c r="K384" s="271" t="s">
        <v>324</v>
      </c>
    </row>
    <row r="385" spans="10:11" ht="15.75" x14ac:dyDescent="0.25">
      <c r="J385" s="288" t="s">
        <v>320</v>
      </c>
      <c r="K385" s="271" t="s">
        <v>325</v>
      </c>
    </row>
    <row r="386" spans="10:11" ht="15.75" x14ac:dyDescent="0.25">
      <c r="J386" s="288" t="s">
        <v>320</v>
      </c>
      <c r="K386" s="271" t="s">
        <v>321</v>
      </c>
    </row>
    <row r="387" spans="10:11" ht="15.75" x14ac:dyDescent="0.25">
      <c r="J387" s="288" t="s">
        <v>320</v>
      </c>
      <c r="K387" s="271" t="s">
        <v>322</v>
      </c>
    </row>
    <row r="388" spans="10:11" ht="15.75" x14ac:dyDescent="0.25">
      <c r="J388" s="288" t="s">
        <v>320</v>
      </c>
      <c r="K388" s="271" t="s">
        <v>323</v>
      </c>
    </row>
    <row r="389" spans="10:11" ht="15.75" x14ac:dyDescent="0.25">
      <c r="J389" s="288" t="s">
        <v>320</v>
      </c>
      <c r="K389" s="271" t="s">
        <v>697</v>
      </c>
    </row>
    <row r="390" spans="10:11" ht="15.75" x14ac:dyDescent="0.25">
      <c r="J390" s="288" t="s">
        <v>312</v>
      </c>
      <c r="K390" s="271" t="s">
        <v>141</v>
      </c>
    </row>
    <row r="391" spans="10:11" ht="15.75" x14ac:dyDescent="0.25">
      <c r="J391" s="288" t="s">
        <v>312</v>
      </c>
      <c r="K391" s="271" t="s">
        <v>313</v>
      </c>
    </row>
    <row r="392" spans="10:11" ht="15.75" x14ac:dyDescent="0.25">
      <c r="J392" s="288" t="s">
        <v>314</v>
      </c>
      <c r="K392" s="271" t="s">
        <v>315</v>
      </c>
    </row>
    <row r="393" spans="10:11" ht="15.75" x14ac:dyDescent="0.25">
      <c r="J393" s="288" t="s">
        <v>314</v>
      </c>
      <c r="K393" s="271" t="s">
        <v>316</v>
      </c>
    </row>
    <row r="394" spans="10:11" ht="15.75" x14ac:dyDescent="0.25">
      <c r="J394" s="288" t="s">
        <v>314</v>
      </c>
      <c r="K394" s="271" t="s">
        <v>317</v>
      </c>
    </row>
    <row r="395" spans="10:11" ht="15.75" x14ac:dyDescent="0.25">
      <c r="J395" s="288" t="s">
        <v>314</v>
      </c>
      <c r="K395" s="271" t="s">
        <v>318</v>
      </c>
    </row>
    <row r="396" spans="10:11" ht="15.75" x14ac:dyDescent="0.25">
      <c r="J396" s="288" t="s">
        <v>314</v>
      </c>
      <c r="K396" s="271" t="s">
        <v>319</v>
      </c>
    </row>
    <row r="397" spans="10:11" ht="15.75" x14ac:dyDescent="0.25">
      <c r="J397" s="288" t="s">
        <v>326</v>
      </c>
      <c r="K397" s="271" t="s">
        <v>327</v>
      </c>
    </row>
    <row r="398" spans="10:11" ht="15.75" x14ac:dyDescent="0.25">
      <c r="J398" s="288" t="s">
        <v>392</v>
      </c>
      <c r="K398" s="271" t="s">
        <v>393</v>
      </c>
    </row>
    <row r="399" spans="10:11" ht="15.75" x14ac:dyDescent="0.25">
      <c r="J399" s="288" t="s">
        <v>392</v>
      </c>
      <c r="K399" s="271" t="s">
        <v>394</v>
      </c>
    </row>
    <row r="400" spans="10:11" ht="15.75" x14ac:dyDescent="0.25">
      <c r="J400" s="288" t="s">
        <v>392</v>
      </c>
      <c r="K400" s="271" t="s">
        <v>395</v>
      </c>
    </row>
    <row r="401" spans="10:11" ht="15.75" x14ac:dyDescent="0.25">
      <c r="J401" s="288" t="s">
        <v>55</v>
      </c>
      <c r="K401" s="271" t="s">
        <v>698</v>
      </c>
    </row>
    <row r="402" spans="10:11" ht="15.75" x14ac:dyDescent="0.25">
      <c r="J402" s="288" t="s">
        <v>55</v>
      </c>
      <c r="K402" s="271" t="s">
        <v>385</v>
      </c>
    </row>
    <row r="403" spans="10:11" ht="15.75" x14ac:dyDescent="0.25">
      <c r="J403" s="288" t="s">
        <v>55</v>
      </c>
      <c r="K403" s="271" t="s">
        <v>386</v>
      </c>
    </row>
    <row r="404" spans="10:11" ht="15.75" x14ac:dyDescent="0.25">
      <c r="J404" s="288" t="s">
        <v>55</v>
      </c>
      <c r="K404" s="271" t="s">
        <v>387</v>
      </c>
    </row>
    <row r="405" spans="10:11" ht="15.75" x14ac:dyDescent="0.25">
      <c r="J405" s="288" t="s">
        <v>55</v>
      </c>
      <c r="K405" s="271" t="s">
        <v>388</v>
      </c>
    </row>
    <row r="406" spans="10:11" ht="15.75" x14ac:dyDescent="0.25">
      <c r="J406" s="288" t="s">
        <v>389</v>
      </c>
      <c r="K406" s="271" t="s">
        <v>390</v>
      </c>
    </row>
    <row r="407" spans="10:11" ht="15.75" x14ac:dyDescent="0.25">
      <c r="J407" s="288" t="s">
        <v>396</v>
      </c>
      <c r="K407" s="271" t="s">
        <v>699</v>
      </c>
    </row>
    <row r="408" spans="10:11" ht="15.75" x14ac:dyDescent="0.25">
      <c r="J408" s="288" t="s">
        <v>396</v>
      </c>
      <c r="K408" s="271" t="s">
        <v>397</v>
      </c>
    </row>
    <row r="409" spans="10:11" ht="15.75" x14ac:dyDescent="0.25">
      <c r="J409" s="288" t="s">
        <v>396</v>
      </c>
      <c r="K409" s="271" t="s">
        <v>398</v>
      </c>
    </row>
    <row r="410" spans="10:11" ht="15.75" x14ac:dyDescent="0.25">
      <c r="J410" s="288" t="s">
        <v>396</v>
      </c>
      <c r="K410" s="271" t="s">
        <v>399</v>
      </c>
    </row>
    <row r="411" spans="10:11" ht="15.75" x14ac:dyDescent="0.25">
      <c r="J411" s="288" t="s">
        <v>396</v>
      </c>
      <c r="K411" s="271" t="s">
        <v>400</v>
      </c>
    </row>
    <row r="412" spans="10:11" ht="15.75" x14ac:dyDescent="0.25">
      <c r="J412" s="288" t="s">
        <v>396</v>
      </c>
      <c r="K412" s="271" t="s">
        <v>1618</v>
      </c>
    </row>
    <row r="413" spans="10:11" ht="15.75" x14ac:dyDescent="0.25">
      <c r="J413" s="288" t="s">
        <v>396</v>
      </c>
      <c r="K413" s="271" t="s">
        <v>401</v>
      </c>
    </row>
    <row r="414" spans="10:11" ht="15.75" x14ac:dyDescent="0.25">
      <c r="J414" s="288" t="s">
        <v>396</v>
      </c>
      <c r="K414" s="271" t="s">
        <v>402</v>
      </c>
    </row>
    <row r="415" spans="10:11" ht="15.75" x14ac:dyDescent="0.25">
      <c r="J415" s="288" t="s">
        <v>625</v>
      </c>
      <c r="K415" s="271" t="s">
        <v>403</v>
      </c>
    </row>
    <row r="416" spans="10:11" ht="15.75" x14ac:dyDescent="0.25">
      <c r="J416" s="288" t="s">
        <v>625</v>
      </c>
      <c r="K416" s="271" t="s">
        <v>404</v>
      </c>
    </row>
    <row r="417" spans="10:11" ht="15.75" x14ac:dyDescent="0.25">
      <c r="J417" s="288" t="s">
        <v>625</v>
      </c>
      <c r="K417" s="271" t="s">
        <v>405</v>
      </c>
    </row>
    <row r="418" spans="10:11" ht="15.75" x14ac:dyDescent="0.25">
      <c r="J418" s="288" t="s">
        <v>406</v>
      </c>
      <c r="K418" s="271" t="s">
        <v>407</v>
      </c>
    </row>
    <row r="419" spans="10:11" ht="15.75" x14ac:dyDescent="0.25">
      <c r="J419" s="288" t="s">
        <v>406</v>
      </c>
      <c r="K419" s="271" t="s">
        <v>408</v>
      </c>
    </row>
    <row r="420" spans="10:11" ht="15.75" x14ac:dyDescent="0.25">
      <c r="J420" s="288" t="s">
        <v>121</v>
      </c>
      <c r="K420" s="271" t="s">
        <v>122</v>
      </c>
    </row>
    <row r="421" spans="10:11" ht="15.75" x14ac:dyDescent="0.25">
      <c r="J421" s="288" t="s">
        <v>121</v>
      </c>
      <c r="K421" s="271" t="s">
        <v>123</v>
      </c>
    </row>
    <row r="422" spans="10:11" ht="15.75" x14ac:dyDescent="0.25">
      <c r="J422" s="288" t="s">
        <v>121</v>
      </c>
      <c r="K422" s="271" t="s">
        <v>124</v>
      </c>
    </row>
    <row r="423" spans="10:11" ht="15.75" x14ac:dyDescent="0.25">
      <c r="J423" s="288" t="s">
        <v>121</v>
      </c>
      <c r="K423" s="271" t="s">
        <v>125</v>
      </c>
    </row>
    <row r="424" spans="10:11" ht="15.75" x14ac:dyDescent="0.25">
      <c r="J424" s="288" t="s">
        <v>121</v>
      </c>
      <c r="K424" s="271" t="s">
        <v>700</v>
      </c>
    </row>
    <row r="425" spans="10:11" ht="15.75" x14ac:dyDescent="0.25">
      <c r="J425" s="288" t="s">
        <v>121</v>
      </c>
      <c r="K425" s="271" t="s">
        <v>131</v>
      </c>
    </row>
    <row r="426" spans="10:11" ht="15.75" x14ac:dyDescent="0.25">
      <c r="J426" s="288" t="s">
        <v>121</v>
      </c>
      <c r="K426" s="271" t="s">
        <v>130</v>
      </c>
    </row>
    <row r="427" spans="10:11" ht="15.75" x14ac:dyDescent="0.25">
      <c r="J427" s="288" t="s">
        <v>121</v>
      </c>
      <c r="K427" s="271" t="s">
        <v>127</v>
      </c>
    </row>
    <row r="428" spans="10:11" ht="15.75" x14ac:dyDescent="0.25">
      <c r="J428" s="288" t="s">
        <v>121</v>
      </c>
      <c r="K428" s="271" t="s">
        <v>128</v>
      </c>
    </row>
    <row r="429" spans="10:11" ht="15.75" x14ac:dyDescent="0.25">
      <c r="J429" s="288" t="s">
        <v>121</v>
      </c>
      <c r="K429" s="271" t="s">
        <v>701</v>
      </c>
    </row>
    <row r="430" spans="10:11" ht="15.75" x14ac:dyDescent="0.25">
      <c r="J430" s="288" t="s">
        <v>121</v>
      </c>
      <c r="K430" s="271" t="s">
        <v>132</v>
      </c>
    </row>
    <row r="431" spans="10:11" ht="15.75" x14ac:dyDescent="0.25">
      <c r="J431" s="288" t="s">
        <v>121</v>
      </c>
      <c r="K431" s="271" t="s">
        <v>134</v>
      </c>
    </row>
    <row r="432" spans="10:11" ht="15.75" x14ac:dyDescent="0.25">
      <c r="J432" s="288" t="s">
        <v>121</v>
      </c>
      <c r="K432" s="271" t="s">
        <v>135</v>
      </c>
    </row>
    <row r="433" spans="10:11" ht="15.75" x14ac:dyDescent="0.25">
      <c r="J433" s="288" t="s">
        <v>121</v>
      </c>
      <c r="K433" s="271" t="s">
        <v>702</v>
      </c>
    </row>
    <row r="434" spans="10:11" ht="15.75" x14ac:dyDescent="0.25">
      <c r="J434" s="288" t="s">
        <v>121</v>
      </c>
      <c r="K434" s="271" t="s">
        <v>136</v>
      </c>
    </row>
    <row r="435" spans="10:11" ht="15.75" x14ac:dyDescent="0.25">
      <c r="J435" s="288" t="s">
        <v>121</v>
      </c>
      <c r="K435" s="271" t="s">
        <v>137</v>
      </c>
    </row>
    <row r="436" spans="10:11" ht="15.75" x14ac:dyDescent="0.25">
      <c r="J436" s="288" t="s">
        <v>121</v>
      </c>
      <c r="K436" s="271" t="s">
        <v>138</v>
      </c>
    </row>
    <row r="437" spans="10:11" ht="15.75" x14ac:dyDescent="0.25">
      <c r="J437" s="288" t="s">
        <v>121</v>
      </c>
      <c r="K437" s="271" t="s">
        <v>703</v>
      </c>
    </row>
    <row r="438" spans="10:11" ht="15.75" x14ac:dyDescent="0.25">
      <c r="J438" s="288" t="s">
        <v>121</v>
      </c>
      <c r="K438" s="271" t="s">
        <v>139</v>
      </c>
    </row>
    <row r="439" spans="10:11" ht="15.75" x14ac:dyDescent="0.25">
      <c r="J439" s="288" t="s">
        <v>121</v>
      </c>
      <c r="K439" s="271" t="s">
        <v>140</v>
      </c>
    </row>
    <row r="440" spans="10:11" ht="15.75" x14ac:dyDescent="0.25">
      <c r="J440" s="288" t="s">
        <v>121</v>
      </c>
      <c r="K440" s="271" t="s">
        <v>133</v>
      </c>
    </row>
    <row r="441" spans="10:11" ht="15.75" x14ac:dyDescent="0.25">
      <c r="J441" s="288" t="s">
        <v>121</v>
      </c>
      <c r="K441" s="271" t="s">
        <v>126</v>
      </c>
    </row>
    <row r="442" spans="10:11" ht="15.75" x14ac:dyDescent="0.25">
      <c r="J442" s="288" t="s">
        <v>121</v>
      </c>
      <c r="K442" s="271" t="s">
        <v>129</v>
      </c>
    </row>
    <row r="443" spans="10:11" ht="15.75" x14ac:dyDescent="0.25">
      <c r="J443" s="288" t="s">
        <v>626</v>
      </c>
      <c r="K443" s="271" t="s">
        <v>60</v>
      </c>
    </row>
    <row r="444" spans="10:11" ht="15.75" x14ac:dyDescent="0.25">
      <c r="J444" s="288" t="s">
        <v>626</v>
      </c>
      <c r="K444" s="271" t="s">
        <v>704</v>
      </c>
    </row>
    <row r="445" spans="10:11" ht="15.75" x14ac:dyDescent="0.25">
      <c r="J445" s="288" t="s">
        <v>626</v>
      </c>
      <c r="K445" s="271" t="s">
        <v>705</v>
      </c>
    </row>
    <row r="446" spans="10:11" ht="15.75" x14ac:dyDescent="0.25">
      <c r="J446" s="288" t="s">
        <v>626</v>
      </c>
      <c r="K446" s="271" t="s">
        <v>706</v>
      </c>
    </row>
    <row r="447" spans="10:11" ht="15.75" x14ac:dyDescent="0.25">
      <c r="J447" s="288" t="s">
        <v>53</v>
      </c>
      <c r="K447" s="271" t="s">
        <v>57</v>
      </c>
    </row>
    <row r="448" spans="10:11" ht="15.75" x14ac:dyDescent="0.25">
      <c r="J448" s="288" t="s">
        <v>53</v>
      </c>
      <c r="K448" s="271" t="s">
        <v>56</v>
      </c>
    </row>
    <row r="449" spans="10:11" ht="15.75" x14ac:dyDescent="0.25">
      <c r="J449" s="288" t="s">
        <v>53</v>
      </c>
      <c r="K449" s="271" t="s">
        <v>54</v>
      </c>
    </row>
    <row r="450" spans="10:11" ht="15.75" x14ac:dyDescent="0.25">
      <c r="J450" s="288" t="s">
        <v>627</v>
      </c>
      <c r="K450" s="271" t="s">
        <v>328</v>
      </c>
    </row>
    <row r="451" spans="10:11" ht="15.75" x14ac:dyDescent="0.25">
      <c r="J451" s="288" t="s">
        <v>628</v>
      </c>
      <c r="K451" s="271" t="s">
        <v>707</v>
      </c>
    </row>
    <row r="452" spans="10:11" ht="15.75" x14ac:dyDescent="0.25">
      <c r="J452" s="288" t="s">
        <v>628</v>
      </c>
      <c r="K452" s="271" t="s">
        <v>66</v>
      </c>
    </row>
    <row r="453" spans="10:11" ht="15.75" x14ac:dyDescent="0.25">
      <c r="J453" s="288" t="s">
        <v>58</v>
      </c>
      <c r="K453" s="271" t="s">
        <v>59</v>
      </c>
    </row>
    <row r="454" spans="10:11" ht="15.75" x14ac:dyDescent="0.25">
      <c r="J454" s="288" t="s">
        <v>58</v>
      </c>
      <c r="K454" s="271" t="s">
        <v>60</v>
      </c>
    </row>
    <row r="455" spans="10:11" ht="15.75" x14ac:dyDescent="0.25">
      <c r="J455" s="288" t="s">
        <v>58</v>
      </c>
      <c r="K455" s="271" t="s">
        <v>62</v>
      </c>
    </row>
    <row r="456" spans="10:11" ht="15.75" x14ac:dyDescent="0.25">
      <c r="J456" s="288" t="s">
        <v>58</v>
      </c>
      <c r="K456" s="271" t="s">
        <v>63</v>
      </c>
    </row>
    <row r="457" spans="10:11" ht="15.75" x14ac:dyDescent="0.25">
      <c r="J457" s="288" t="s">
        <v>58</v>
      </c>
      <c r="K457" s="271" t="s">
        <v>64</v>
      </c>
    </row>
    <row r="458" spans="10:11" ht="15.75" x14ac:dyDescent="0.25">
      <c r="J458" s="288" t="s">
        <v>58</v>
      </c>
      <c r="K458" s="271" t="s">
        <v>65</v>
      </c>
    </row>
    <row r="459" spans="10:11" ht="15.75" x14ac:dyDescent="0.25">
      <c r="J459" s="288" t="s">
        <v>58</v>
      </c>
      <c r="K459" s="271" t="s">
        <v>61</v>
      </c>
    </row>
    <row r="460" spans="10:11" ht="15.75" x14ac:dyDescent="0.25">
      <c r="J460" s="288" t="s">
        <v>629</v>
      </c>
      <c r="K460" s="271" t="s">
        <v>424</v>
      </c>
    </row>
    <row r="461" spans="10:11" ht="15.75" x14ac:dyDescent="0.25">
      <c r="J461" s="288" t="s">
        <v>629</v>
      </c>
      <c r="K461" s="271" t="s">
        <v>425</v>
      </c>
    </row>
    <row r="462" spans="10:11" ht="15.75" x14ac:dyDescent="0.25">
      <c r="J462" s="288" t="s">
        <v>629</v>
      </c>
      <c r="K462" s="271" t="s">
        <v>708</v>
      </c>
    </row>
    <row r="463" spans="10:11" ht="15.75" x14ac:dyDescent="0.25">
      <c r="J463" s="288" t="s">
        <v>629</v>
      </c>
      <c r="K463" s="271" t="s">
        <v>426</v>
      </c>
    </row>
    <row r="464" spans="10:11" ht="15.75" x14ac:dyDescent="0.25">
      <c r="J464" s="288" t="s">
        <v>427</v>
      </c>
      <c r="K464" s="271" t="s">
        <v>428</v>
      </c>
    </row>
    <row r="465" spans="10:11" ht="15.75" x14ac:dyDescent="0.25">
      <c r="J465" s="288" t="s">
        <v>630</v>
      </c>
      <c r="K465" s="271" t="s">
        <v>709</v>
      </c>
    </row>
    <row r="466" spans="10:11" ht="15.75" x14ac:dyDescent="0.25">
      <c r="J466" s="288" t="s">
        <v>630</v>
      </c>
      <c r="K466" s="271" t="s">
        <v>710</v>
      </c>
    </row>
    <row r="467" spans="10:11" ht="15.75" x14ac:dyDescent="0.25">
      <c r="J467" s="288" t="s">
        <v>630</v>
      </c>
      <c r="K467" s="271" t="s">
        <v>711</v>
      </c>
    </row>
    <row r="468" spans="10:11" ht="15.75" x14ac:dyDescent="0.25">
      <c r="J468" s="288" t="s">
        <v>630</v>
      </c>
      <c r="K468" s="271" t="s">
        <v>712</v>
      </c>
    </row>
    <row r="469" spans="10:11" ht="15.75" x14ac:dyDescent="0.25">
      <c r="J469" s="288" t="s">
        <v>630</v>
      </c>
      <c r="K469" s="271" t="s">
        <v>713</v>
      </c>
    </row>
    <row r="470" spans="10:11" ht="15.75" x14ac:dyDescent="0.25">
      <c r="J470" s="288" t="s">
        <v>631</v>
      </c>
      <c r="K470" s="271" t="s">
        <v>631</v>
      </c>
    </row>
    <row r="471" spans="10:11" ht="15.75" x14ac:dyDescent="0.25">
      <c r="J471" s="288"/>
      <c r="K471" s="271"/>
    </row>
    <row r="472" spans="10:11" ht="15.75" x14ac:dyDescent="0.25">
      <c r="J472" s="288"/>
      <c r="K472" s="271"/>
    </row>
    <row r="473" spans="10:11" ht="15.75" x14ac:dyDescent="0.25">
      <c r="J473" s="288"/>
      <c r="K473" s="271"/>
    </row>
    <row r="474" spans="10:11" ht="15.75" x14ac:dyDescent="0.25">
      <c r="J474" s="288"/>
      <c r="K474" s="271"/>
    </row>
    <row r="475" spans="10:11" ht="15.75" x14ac:dyDescent="0.25">
      <c r="J475" s="288"/>
      <c r="K475" s="271"/>
    </row>
    <row r="476" spans="10:11" ht="15.75" x14ac:dyDescent="0.25">
      <c r="J476" s="288"/>
      <c r="K476" s="271"/>
    </row>
    <row r="477" spans="10:11" ht="15.75" x14ac:dyDescent="0.25">
      <c r="J477" s="288"/>
      <c r="K477" s="271"/>
    </row>
    <row r="478" spans="10:11" ht="15.75" x14ac:dyDescent="0.25">
      <c r="J478" s="288"/>
      <c r="K478" s="271"/>
    </row>
    <row r="479" spans="10:11" ht="15.75" x14ac:dyDescent="0.25">
      <c r="J479" s="288"/>
      <c r="K479" s="271"/>
    </row>
    <row r="480" spans="10:11" ht="15.75" x14ac:dyDescent="0.25">
      <c r="J480" s="288"/>
      <c r="K480" s="271"/>
    </row>
    <row r="481" spans="10:11" ht="15.75" x14ac:dyDescent="0.25">
      <c r="J481" s="288"/>
      <c r="K481" s="271"/>
    </row>
    <row r="482" spans="10:11" ht="15.75" x14ac:dyDescent="0.25">
      <c r="J482" s="288"/>
      <c r="K482" s="271"/>
    </row>
    <row r="483" spans="10:11" ht="15.75" x14ac:dyDescent="0.25">
      <c r="J483" s="288"/>
      <c r="K483" s="271"/>
    </row>
    <row r="484" spans="10:11" ht="15.75" x14ac:dyDescent="0.25">
      <c r="J484" s="288"/>
      <c r="K484" s="271"/>
    </row>
    <row r="485" spans="10:11" ht="15.75" x14ac:dyDescent="0.25">
      <c r="J485" s="288"/>
      <c r="K485" s="271"/>
    </row>
    <row r="486" spans="10:11" ht="15.75" x14ac:dyDescent="0.25">
      <c r="J486" s="288"/>
      <c r="K486" s="271"/>
    </row>
    <row r="487" spans="10:11" ht="15.75" x14ac:dyDescent="0.25">
      <c r="J487" s="288"/>
      <c r="K487" s="271"/>
    </row>
    <row r="488" spans="10:11" ht="15.75" x14ac:dyDescent="0.25">
      <c r="J488" s="288"/>
      <c r="K488" s="271"/>
    </row>
    <row r="489" spans="10:11" ht="15.75" x14ac:dyDescent="0.25">
      <c r="J489" s="288"/>
      <c r="K489" s="271"/>
    </row>
    <row r="490" spans="10:11" ht="15.75" x14ac:dyDescent="0.25">
      <c r="J490" s="288"/>
      <c r="K490" s="271"/>
    </row>
    <row r="491" spans="10:11" ht="15.75" x14ac:dyDescent="0.25">
      <c r="J491" s="288"/>
      <c r="K491" s="271"/>
    </row>
    <row r="492" spans="10:11" ht="15.75" x14ac:dyDescent="0.25">
      <c r="J492" s="288"/>
      <c r="K492" s="271"/>
    </row>
    <row r="493" spans="10:11" ht="15.75" x14ac:dyDescent="0.25">
      <c r="J493" s="288"/>
      <c r="K493" s="271"/>
    </row>
    <row r="494" spans="10:11" ht="15.75" x14ac:dyDescent="0.25">
      <c r="J494" s="288"/>
      <c r="K494" s="271"/>
    </row>
    <row r="495" spans="10:11" ht="15.75" x14ac:dyDescent="0.25">
      <c r="J495" s="288"/>
      <c r="K495" s="271"/>
    </row>
    <row r="496" spans="10:11" ht="15.75" x14ac:dyDescent="0.25">
      <c r="J496" s="288"/>
      <c r="K496" s="271"/>
    </row>
    <row r="497" spans="10:11" ht="15.75" x14ac:dyDescent="0.25">
      <c r="J497" s="288"/>
      <c r="K497" s="271"/>
    </row>
    <row r="498" spans="10:11" ht="15.75" x14ac:dyDescent="0.25">
      <c r="J498" s="288"/>
      <c r="K498" s="271"/>
    </row>
    <row r="499" spans="10:11" ht="15.75" x14ac:dyDescent="0.25">
      <c r="J499" s="288"/>
      <c r="K499" s="271"/>
    </row>
    <row r="500" spans="10:11" ht="15.75" x14ac:dyDescent="0.25">
      <c r="J500" s="288"/>
      <c r="K500" s="271"/>
    </row>
    <row r="501" spans="10:11" ht="15.75" x14ac:dyDescent="0.25">
      <c r="J501" s="288"/>
      <c r="K501" s="271"/>
    </row>
    <row r="502" spans="10:11" ht="15.75" x14ac:dyDescent="0.25">
      <c r="J502" s="288"/>
      <c r="K502" s="271"/>
    </row>
    <row r="503" spans="10:11" ht="15.75" x14ac:dyDescent="0.25">
      <c r="J503" s="288"/>
      <c r="K503" s="271"/>
    </row>
    <row r="504" spans="10:11" ht="15.75" x14ac:dyDescent="0.25">
      <c r="J504" s="288"/>
      <c r="K504" s="271"/>
    </row>
    <row r="505" spans="10:11" ht="15.75" x14ac:dyDescent="0.25">
      <c r="J505" s="288"/>
      <c r="K505" s="271"/>
    </row>
    <row r="506" spans="10:11" ht="15.75" x14ac:dyDescent="0.25">
      <c r="J506" s="288"/>
      <c r="K506" s="271"/>
    </row>
    <row r="507" spans="10:11" ht="15.75" x14ac:dyDescent="0.25">
      <c r="J507" s="288"/>
      <c r="K507" s="271"/>
    </row>
    <row r="508" spans="10:11" ht="15.75" x14ac:dyDescent="0.25">
      <c r="J508" s="288"/>
      <c r="K508" s="271"/>
    </row>
    <row r="509" spans="10:11" ht="15.75" x14ac:dyDescent="0.25">
      <c r="J509" s="288"/>
      <c r="K509" s="271"/>
    </row>
    <row r="510" spans="10:11" ht="15.75" x14ac:dyDescent="0.25">
      <c r="J510" s="288"/>
      <c r="K510" s="271"/>
    </row>
    <row r="511" spans="10:11" ht="15.75" x14ac:dyDescent="0.25">
      <c r="J511" s="288"/>
      <c r="K511" s="271"/>
    </row>
    <row r="512" spans="10:11" ht="15.75" x14ac:dyDescent="0.25">
      <c r="J512" s="288"/>
      <c r="K512" s="271"/>
    </row>
    <row r="513" spans="10:11" ht="15.75" x14ac:dyDescent="0.25">
      <c r="J513" s="288"/>
      <c r="K513" s="271"/>
    </row>
    <row r="514" spans="10:11" ht="15.75" x14ac:dyDescent="0.25">
      <c r="J514" s="288"/>
      <c r="K514" s="271"/>
    </row>
    <row r="515" spans="10:11" ht="15.75" x14ac:dyDescent="0.25">
      <c r="J515" s="288"/>
      <c r="K515" s="271"/>
    </row>
    <row r="516" spans="10:11" ht="15.75" x14ac:dyDescent="0.25">
      <c r="J516" s="288"/>
      <c r="K516" s="271"/>
    </row>
    <row r="517" spans="10:11" ht="15.75" x14ac:dyDescent="0.25">
      <c r="J517" s="288"/>
      <c r="K517" s="271"/>
    </row>
    <row r="518" spans="10:11" ht="15.75" x14ac:dyDescent="0.25">
      <c r="J518" s="288"/>
      <c r="K518" s="271"/>
    </row>
    <row r="519" spans="10:11" ht="15.75" x14ac:dyDescent="0.25">
      <c r="J519" s="288"/>
      <c r="K519" s="271"/>
    </row>
    <row r="520" spans="10:11" ht="15.75" x14ac:dyDescent="0.25">
      <c r="J520" s="288"/>
      <c r="K520" s="271"/>
    </row>
    <row r="521" spans="10:11" ht="15.75" x14ac:dyDescent="0.25">
      <c r="J521" s="288"/>
      <c r="K521" s="271"/>
    </row>
    <row r="522" spans="10:11" ht="15.75" x14ac:dyDescent="0.25">
      <c r="J522" s="288"/>
      <c r="K522" s="271"/>
    </row>
    <row r="523" spans="10:11" ht="15.75" x14ac:dyDescent="0.25">
      <c r="J523" s="288"/>
      <c r="K523" s="271"/>
    </row>
    <row r="524" spans="10:11" ht="15.75" x14ac:dyDescent="0.25">
      <c r="J524" s="288"/>
      <c r="K524" s="271"/>
    </row>
    <row r="525" spans="10:11" ht="15.75" x14ac:dyDescent="0.25">
      <c r="J525" s="288"/>
      <c r="K525" s="271"/>
    </row>
    <row r="526" spans="10:11" ht="15.75" x14ac:dyDescent="0.25">
      <c r="J526" s="288"/>
      <c r="K526" s="271"/>
    </row>
    <row r="527" spans="10:11" ht="15.75" x14ac:dyDescent="0.25">
      <c r="J527" s="288"/>
      <c r="K527" s="271"/>
    </row>
    <row r="528" spans="10:11" ht="15.75" x14ac:dyDescent="0.25">
      <c r="J528" s="288"/>
      <c r="K528" s="271"/>
    </row>
    <row r="529" spans="10:11" ht="15.75" x14ac:dyDescent="0.25">
      <c r="J529" s="288"/>
      <c r="K529" s="271"/>
    </row>
    <row r="530" spans="10:11" ht="15.75" x14ac:dyDescent="0.25">
      <c r="J530" s="288"/>
      <c r="K530" s="271"/>
    </row>
    <row r="531" spans="10:11" ht="15.75" x14ac:dyDescent="0.25">
      <c r="J531" s="288"/>
      <c r="K531" s="271"/>
    </row>
    <row r="532" spans="10:11" ht="15.75" x14ac:dyDescent="0.25">
      <c r="J532" s="288"/>
      <c r="K532" s="271"/>
    </row>
    <row r="533" spans="10:11" ht="15.75" x14ac:dyDescent="0.25">
      <c r="J533" s="288"/>
      <c r="K533" s="271"/>
    </row>
    <row r="534" spans="10:11" ht="15.75" x14ac:dyDescent="0.25">
      <c r="J534" s="288"/>
      <c r="K534" s="271"/>
    </row>
    <row r="535" spans="10:11" ht="15.75" x14ac:dyDescent="0.25">
      <c r="J535" s="288"/>
      <c r="K535" s="271"/>
    </row>
    <row r="536" spans="10:11" ht="15.75" x14ac:dyDescent="0.25">
      <c r="J536" s="288"/>
      <c r="K536" s="296"/>
    </row>
    <row r="537" spans="10:11" ht="15.75" x14ac:dyDescent="0.25">
      <c r="J537" s="288"/>
      <c r="K537" s="280"/>
    </row>
    <row r="538" spans="10:11" ht="15.75" x14ac:dyDescent="0.25">
      <c r="J538" s="288"/>
      <c r="K538" s="280"/>
    </row>
    <row r="539" spans="10:11" ht="15.75" x14ac:dyDescent="0.25">
      <c r="J539" s="288"/>
      <c r="K539" s="280"/>
    </row>
    <row r="540" spans="10:11" ht="15.75" x14ac:dyDescent="0.25">
      <c r="J540" s="288"/>
      <c r="K540" s="280"/>
    </row>
    <row r="541" spans="10:11" ht="15.75" x14ac:dyDescent="0.25">
      <c r="J541" s="288"/>
      <c r="K541" s="280"/>
    </row>
    <row r="542" spans="10:11" ht="15.75" x14ac:dyDescent="0.25">
      <c r="J542" s="288"/>
      <c r="K542" s="280"/>
    </row>
    <row r="543" spans="10:11" ht="15.75" x14ac:dyDescent="0.25">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zoomScale="90" zoomScaleNormal="90" workbookViewId="0">
      <pane ySplit="1" topLeftCell="A203" activePane="bottomLeft" state="frozen"/>
      <selection pane="bottomLeft" activeCell="D222" sqref="D222"/>
    </sheetView>
  </sheetViews>
  <sheetFormatPr defaultRowHeight="15" x14ac:dyDescent="0.25"/>
  <cols>
    <col min="1" max="1" width="0.7109375" style="1314" customWidth="1"/>
    <col min="2" max="2" width="5" style="1315"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55" customFormat="1" ht="15" customHeight="1" x14ac:dyDescent="0.25">
      <c r="A1" s="1314"/>
      <c r="B1" s="1354"/>
      <c r="C1" s="1468" t="s">
        <v>1687</v>
      </c>
      <c r="D1" s="1354"/>
      <c r="E1" s="1469" t="s">
        <v>1680</v>
      </c>
      <c r="F1" s="1545"/>
      <c r="G1" s="1545"/>
      <c r="H1" s="1545"/>
      <c r="I1" s="1545"/>
      <c r="J1" s="1545"/>
      <c r="K1" s="1545"/>
      <c r="L1" s="1545"/>
      <c r="M1" s="1545"/>
      <c r="N1" s="1545"/>
      <c r="O1" s="1545"/>
      <c r="P1" s="1545"/>
      <c r="Q1" s="1545"/>
      <c r="R1" s="1545"/>
      <c r="S1" s="1545"/>
      <c r="T1" s="1545"/>
      <c r="U1" s="1545"/>
      <c r="V1" s="1545"/>
      <c r="W1" s="1545"/>
      <c r="X1" s="1545"/>
      <c r="Y1" s="1545"/>
      <c r="Z1" s="1353"/>
    </row>
    <row r="2" spans="1:26" s="17" customFormat="1" ht="15" customHeight="1" x14ac:dyDescent="0.25">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314"/>
      <c r="B3" s="1313"/>
      <c r="C3" s="1576" t="s">
        <v>1785</v>
      </c>
      <c r="D3" s="1577"/>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314"/>
      <c r="B4" s="1313"/>
      <c r="C4" s="1576"/>
      <c r="D4" s="1577"/>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25">
      <c r="A5" s="1314"/>
      <c r="B5" s="1313"/>
      <c r="C5" s="1576"/>
      <c r="D5" s="1577"/>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25">
      <c r="A6" s="1314"/>
      <c r="B6" s="1313"/>
      <c r="C6" s="1545"/>
      <c r="D6" s="1577"/>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392">
        <v>0.125</v>
      </c>
      <c r="C8" s="1559" t="s">
        <v>756</v>
      </c>
      <c r="D8" s="1560"/>
      <c r="E8" s="1561"/>
      <c r="F8" s="1"/>
      <c r="G8" s="10"/>
      <c r="H8" s="10"/>
      <c r="I8" s="10"/>
      <c r="J8" s="10"/>
      <c r="K8" s="10"/>
      <c r="L8" s="18"/>
      <c r="M8" s="18"/>
      <c r="N8" s="18"/>
      <c r="O8" s="18"/>
      <c r="P8" s="18"/>
      <c r="Q8" s="18"/>
      <c r="R8" s="18"/>
      <c r="S8" s="18"/>
      <c r="T8" s="18"/>
      <c r="U8" s="18"/>
      <c r="V8" s="18"/>
      <c r="W8" s="18"/>
      <c r="X8" s="18"/>
      <c r="Y8" s="18"/>
      <c r="Z8" s="18"/>
    </row>
    <row r="9" spans="1:26" x14ac:dyDescent="0.25">
      <c r="B9" s="1363">
        <v>1</v>
      </c>
      <c r="C9" s="1303" t="s">
        <v>1897</v>
      </c>
      <c r="D9" s="84"/>
      <c r="E9" s="1308"/>
      <c r="F9" s="10"/>
      <c r="G9" s="10"/>
      <c r="H9" s="10"/>
      <c r="I9" s="10"/>
      <c r="J9" s="10"/>
      <c r="K9" s="10"/>
      <c r="L9" s="18"/>
      <c r="M9" s="18"/>
      <c r="N9" s="18"/>
      <c r="O9" s="18"/>
      <c r="P9" s="18"/>
      <c r="Q9" s="18"/>
      <c r="R9" s="18"/>
      <c r="S9" s="18"/>
      <c r="T9" s="18"/>
      <c r="U9" s="18"/>
      <c r="V9" s="18"/>
      <c r="W9" s="18"/>
      <c r="X9" s="18"/>
      <c r="Y9" s="18"/>
      <c r="Z9" s="18"/>
    </row>
    <row r="10" spans="1:26" x14ac:dyDescent="0.25">
      <c r="B10" s="1363">
        <v>2</v>
      </c>
      <c r="C10" s="1303" t="s">
        <v>752</v>
      </c>
      <c r="D10" s="84" t="s">
        <v>461</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25">
      <c r="B11" s="1363">
        <v>3</v>
      </c>
      <c r="C11" s="1304" t="s">
        <v>753</v>
      </c>
      <c r="D11" s="84" t="s">
        <v>461</v>
      </c>
      <c r="E11" s="1308"/>
      <c r="F11" s="20" t="str">
        <f>IF(TYPE(Климатология!E2)=16,"Проверьте выбор города","")</f>
        <v>Проверьте выбор города</v>
      </c>
      <c r="G11" s="10"/>
      <c r="H11" s="10"/>
      <c r="I11" s="10"/>
      <c r="J11" s="10"/>
      <c r="K11" s="10"/>
      <c r="L11" s="18"/>
      <c r="M11" s="18"/>
      <c r="N11" s="18"/>
      <c r="O11" s="18"/>
      <c r="P11" s="18"/>
      <c r="Q11" s="18"/>
      <c r="R11" s="18"/>
      <c r="S11" s="18"/>
      <c r="T11" s="18"/>
      <c r="U11" s="18"/>
      <c r="V11" s="18"/>
      <c r="W11" s="18"/>
      <c r="X11" s="18"/>
      <c r="Y11" s="18"/>
      <c r="Z11" s="18"/>
    </row>
    <row r="12" spans="1:26" x14ac:dyDescent="0.25">
      <c r="B12" s="1363">
        <v>4</v>
      </c>
      <c r="C12" s="1304" t="s">
        <v>810</v>
      </c>
      <c r="D12" s="84"/>
      <c r="E12" s="1308" t="s">
        <v>1788</v>
      </c>
      <c r="F12" s="20" t="str">
        <f>IF(D12="","Введите год постройки")</f>
        <v>Введите год постройки</v>
      </c>
      <c r="G12" s="10"/>
      <c r="H12" s="10"/>
      <c r="I12" s="10"/>
      <c r="J12" s="10"/>
      <c r="K12" s="10"/>
      <c r="L12" s="18"/>
      <c r="M12" s="18"/>
      <c r="N12" s="18"/>
      <c r="O12" s="18"/>
      <c r="P12" s="18"/>
      <c r="Q12" s="18"/>
      <c r="R12" s="18"/>
      <c r="S12" s="18"/>
      <c r="T12" s="18"/>
      <c r="U12" s="18"/>
      <c r="V12" s="18"/>
      <c r="W12" s="18"/>
      <c r="X12" s="18"/>
      <c r="Y12" s="18"/>
      <c r="Z12" s="18"/>
    </row>
    <row r="13" spans="1:26" ht="45" x14ac:dyDescent="0.25">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25">
      <c r="A14" s="1314"/>
      <c r="B14" s="1556">
        <v>6</v>
      </c>
      <c r="C14" s="1578"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73"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25">
      <c r="A15" s="1314"/>
      <c r="B15" s="1556"/>
      <c r="C15" s="1578"/>
      <c r="D15" s="1311" t="s">
        <v>1165</v>
      </c>
      <c r="E15" s="1575"/>
      <c r="F15" s="20" t="str">
        <f>IF(TYPE('Расчет базового уровня'!C134)=16,"Проверьте выбор материала","")</f>
        <v>Проверьте выбор материала</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25">
      <c r="B16" s="1363">
        <v>7</v>
      </c>
      <c r="C16" s="1305" t="s">
        <v>1787</v>
      </c>
      <c r="D16" s="84"/>
      <c r="E16" s="1551"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25">
      <c r="A17" s="1314"/>
      <c r="B17" s="1363">
        <v>8</v>
      </c>
      <c r="C17" s="1305"/>
      <c r="D17" s="1312"/>
      <c r="E17" s="1551"/>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25">
      <c r="B18" s="1363">
        <v>9</v>
      </c>
      <c r="C18" s="1303" t="s">
        <v>1516</v>
      </c>
      <c r="D18" s="84"/>
      <c r="E18" s="1551"/>
      <c r="F18" s="18"/>
      <c r="G18" s="18"/>
      <c r="H18" s="10"/>
      <c r="I18" s="10"/>
      <c r="J18" s="10"/>
      <c r="K18" s="10"/>
      <c r="L18" s="18"/>
      <c r="M18" s="18"/>
      <c r="N18" s="18"/>
      <c r="O18" s="18"/>
      <c r="P18" s="18"/>
      <c r="Q18" s="18"/>
      <c r="R18" s="18"/>
      <c r="S18" s="18"/>
      <c r="T18" s="18"/>
      <c r="U18" s="18"/>
      <c r="V18" s="18"/>
      <c r="W18" s="18"/>
      <c r="X18" s="18"/>
      <c r="Y18" s="18"/>
      <c r="Z18" s="18"/>
    </row>
    <row r="19" spans="1:26" x14ac:dyDescent="0.25">
      <c r="B19" s="1363">
        <v>10</v>
      </c>
      <c r="C19" s="1304" t="s">
        <v>1789</v>
      </c>
      <c r="D19" s="84"/>
      <c r="E19" s="1551"/>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25">
      <c r="B20" s="1363">
        <v>11</v>
      </c>
      <c r="C20" s="1305" t="s">
        <v>1274</v>
      </c>
      <c r="D20" s="84"/>
      <c r="E20" s="1551"/>
      <c r="F20" s="18"/>
      <c r="G20" s="18"/>
      <c r="H20" s="10"/>
      <c r="I20" s="10"/>
      <c r="J20" s="10"/>
      <c r="K20" s="10"/>
      <c r="L20" s="18"/>
      <c r="M20" s="18"/>
      <c r="N20" s="18"/>
      <c r="O20" s="18"/>
      <c r="P20" s="18"/>
      <c r="Q20" s="18"/>
      <c r="R20" s="18"/>
      <c r="S20" s="18"/>
      <c r="T20" s="18"/>
      <c r="U20" s="18"/>
      <c r="V20" s="18"/>
      <c r="W20" s="18"/>
      <c r="X20" s="18"/>
      <c r="Y20" s="18"/>
      <c r="Z20" s="18"/>
    </row>
    <row r="21" spans="1:26" x14ac:dyDescent="0.25">
      <c r="B21" s="1363">
        <v>12</v>
      </c>
      <c r="C21" s="1304" t="s">
        <v>755</v>
      </c>
      <c r="D21" s="84"/>
      <c r="E21" s="1307"/>
      <c r="F21" s="1"/>
      <c r="G21" s="10"/>
      <c r="H21" s="10"/>
      <c r="I21" s="10"/>
      <c r="J21" s="10"/>
      <c r="K21" s="10"/>
      <c r="L21" s="18"/>
      <c r="M21" s="18"/>
      <c r="N21" s="18"/>
      <c r="O21" s="18"/>
      <c r="P21" s="18"/>
      <c r="Q21" s="18"/>
      <c r="R21" s="18"/>
      <c r="S21" s="18"/>
      <c r="T21" s="18"/>
      <c r="U21" s="18"/>
      <c r="V21" s="18"/>
      <c r="W21" s="18"/>
      <c r="X21" s="18"/>
      <c r="Y21" s="18"/>
      <c r="Z21" s="18"/>
    </row>
    <row r="22" spans="1:26" ht="30" x14ac:dyDescent="0.25">
      <c r="B22" s="1363">
        <v>13</v>
      </c>
      <c r="C22" s="1305" t="s">
        <v>1786</v>
      </c>
      <c r="D22" s="85"/>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25">
      <c r="A23" s="1314"/>
      <c r="B23" s="1556">
        <v>14</v>
      </c>
      <c r="C23" s="1547" t="s">
        <v>1536</v>
      </c>
      <c r="D23" s="9"/>
      <c r="E23" s="1555" t="s">
        <v>1793</v>
      </c>
      <c r="F23" s="1557"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314"/>
      <c r="B24" s="1556"/>
      <c r="C24" s="1548"/>
      <c r="D24" s="9"/>
      <c r="E24" s="1555"/>
      <c r="F24" s="1557"/>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314"/>
      <c r="B25" s="1556"/>
      <c r="C25" s="1549"/>
      <c r="D25" s="9"/>
      <c r="E25" s="1555"/>
      <c r="F25" s="1557"/>
      <c r="G25" s="10"/>
      <c r="H25" s="10"/>
      <c r="I25" s="10"/>
      <c r="J25" s="10"/>
      <c r="K25" s="10"/>
      <c r="L25" s="18"/>
      <c r="M25" s="18"/>
      <c r="N25" s="18"/>
      <c r="O25" s="18"/>
      <c r="P25" s="18"/>
      <c r="Q25" s="18"/>
      <c r="R25" s="18"/>
      <c r="S25" s="18"/>
      <c r="T25" s="18"/>
      <c r="U25" s="18"/>
      <c r="V25" s="18"/>
      <c r="W25" s="18"/>
      <c r="X25" s="18"/>
      <c r="Y25" s="18"/>
      <c r="Z25" s="18"/>
    </row>
    <row r="26" spans="1:26" ht="32.25" customHeight="1" x14ac:dyDescent="0.25">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25">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25">
      <c r="A28" s="1314"/>
      <c r="B28" s="1363">
        <v>17</v>
      </c>
      <c r="C28" s="1550"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25">
      <c r="A29" s="1314"/>
      <c r="B29" s="1363">
        <v>18</v>
      </c>
      <c r="C29" s="1550"/>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314"/>
      <c r="B30" s="1363">
        <v>19</v>
      </c>
      <c r="C30" s="1550"/>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25">
      <c r="B31" s="1363"/>
      <c r="C31" s="1318" t="s">
        <v>859</v>
      </c>
      <c r="D31" s="1320">
        <f>D32+D33+D34</f>
        <v>0</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25">
      <c r="B32" s="1363">
        <v>20</v>
      </c>
      <c r="C32" s="1306" t="s">
        <v>762</v>
      </c>
      <c r="D32" s="1319">
        <v>0</v>
      </c>
      <c r="E32" s="1570"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25">
      <c r="B33" s="1363">
        <v>21</v>
      </c>
      <c r="C33" s="1306" t="s">
        <v>763</v>
      </c>
      <c r="D33" s="85">
        <v>0</v>
      </c>
      <c r="E33" s="1571"/>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25">
      <c r="A34" s="1314"/>
      <c r="B34" s="1363">
        <f>B33+1</f>
        <v>22</v>
      </c>
      <c r="C34" s="1306" t="s">
        <v>1607</v>
      </c>
      <c r="D34" s="85">
        <v>0</v>
      </c>
      <c r="E34" s="1572"/>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25">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25">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25">
      <c r="A37" s="1314"/>
      <c r="B37" s="1314"/>
      <c r="C37" s="1558" t="s">
        <v>1839</v>
      </c>
      <c r="D37" s="1558"/>
      <c r="E37" s="1558"/>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
      <c r="A38" s="1314"/>
      <c r="B38" s="1316"/>
      <c r="C38" s="1360"/>
      <c r="D38" s="1467"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25">
      <c r="A39" s="1314"/>
      <c r="B39" s="1314"/>
      <c r="C39" s="1552" t="s">
        <v>1841</v>
      </c>
      <c r="D39" s="1552"/>
      <c r="E39" s="1552"/>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
      <c r="B41" s="1392">
        <f>2/8</f>
        <v>0.25</v>
      </c>
      <c r="C41" s="1559" t="s">
        <v>1470</v>
      </c>
      <c r="D41" s="1560"/>
      <c r="E41" s="1561"/>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25">
      <c r="A42" s="1314"/>
      <c r="B42" s="1314"/>
      <c r="C42" s="1356"/>
      <c r="D42" s="1314"/>
      <c r="E42" s="1357" t="str">
        <f>IFERROR(IF(AND(OR(G43=0,G44=0,G46=0,G45=0,G47=0,G48=0,G49=0,G50=0,G51=0,G52=0,G54=0,G55=0,G59+G60+G61=0,G62+G63=0,G65=0,SUM(I43:I65)&gt;0)),"Неполный/неверный ввод!","Введено верно"),"Неполный/неверный ввод!")</f>
        <v>Неполный/неверный ввод!</v>
      </c>
      <c r="F42" s="20"/>
      <c r="G42" s="18"/>
      <c r="H42" s="18"/>
      <c r="I42" s="18"/>
      <c r="J42" s="18"/>
      <c r="K42" s="18"/>
      <c r="L42" s="18"/>
      <c r="M42" s="18"/>
      <c r="N42" s="18"/>
      <c r="O42" s="18"/>
      <c r="P42" s="18"/>
      <c r="Q42" s="18"/>
      <c r="R42" s="18"/>
      <c r="S42" s="18"/>
      <c r="T42" s="18"/>
      <c r="U42" s="18"/>
      <c r="V42" s="18"/>
      <c r="W42" s="18"/>
      <c r="X42" s="18"/>
      <c r="Y42" s="18"/>
      <c r="Z42" s="18"/>
    </row>
    <row r="43" spans="1:26" ht="24" x14ac:dyDescent="0.25">
      <c r="B43" s="1363">
        <f>B35+1</f>
        <v>24</v>
      </c>
      <c r="C43" s="1321" t="s">
        <v>1795</v>
      </c>
      <c r="D43" s="1333"/>
      <c r="E43" s="1339" t="s">
        <v>1806</v>
      </c>
      <c r="F43" s="1537"/>
      <c r="G43" s="1335">
        <f>IF($D$13=списки!$B$3,D43,'Серии планировка'!F75)</f>
        <v>0</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25">
      <c r="B44" s="1363">
        <f>B43+1</f>
        <v>25</v>
      </c>
      <c r="C44" s="1318" t="s">
        <v>1796</v>
      </c>
      <c r="D44" s="1333"/>
      <c r="E44" s="1340" t="s">
        <v>1807</v>
      </c>
      <c r="F44" s="1537" t="str">
        <f>IF(AND(D44&lt;&gt;0,$D$13="нет в списке",D44&gt;=D43),"Ошибка. Значение должно быть меньше общей площади","")</f>
        <v/>
      </c>
      <c r="G44" s="1335">
        <f>IF($D$13=списки!$B$3,D44,'Серии планировка'!G75)</f>
        <v>0</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25">
      <c r="A45" s="1314"/>
      <c r="B45" s="1363">
        <f t="shared" ref="B45:B65" si="1">B44+1</f>
        <v>26</v>
      </c>
      <c r="C45" s="1305" t="s">
        <v>1805</v>
      </c>
      <c r="D45" s="1333"/>
      <c r="E45" s="1340" t="s">
        <v>1808</v>
      </c>
      <c r="F45" s="1537" t="str">
        <f>IF(AND(D45&lt;&gt;0,$D$13="нет в списке",D45&gt;=D44),"Ошибка. Значение должно быть меньше площади квартир","")</f>
        <v/>
      </c>
      <c r="G45" s="1335">
        <f>IF($D$13=списки!$B$3,D45,'Серии планировка'!H75)</f>
        <v>0</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25">
      <c r="A46" s="1314"/>
      <c r="B46" s="1363">
        <f>B45+1</f>
        <v>27</v>
      </c>
      <c r="C46" s="1305" t="s">
        <v>1578</v>
      </c>
      <c r="D46" s="1334"/>
      <c r="E46" s="1340" t="s">
        <v>1580</v>
      </c>
      <c r="F46" s="1537"/>
      <c r="G46" s="1336">
        <f>IF($D$13=списки!$B$3,D46,'Серии планировка'!$L$75)</f>
        <v>0</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25">
      <c r="A47" s="1314"/>
      <c r="B47" s="1363">
        <f t="shared" si="1"/>
        <v>28</v>
      </c>
      <c r="C47" s="1305" t="s">
        <v>1579</v>
      </c>
      <c r="D47" s="1334"/>
      <c r="E47" s="1340" t="s">
        <v>1581</v>
      </c>
      <c r="F47" s="1537"/>
      <c r="G47" s="1335">
        <f>IF($D$13=списки!$B$3,D47,'Серии планировка'!$M$75)</f>
        <v>0</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25">
      <c r="A48" s="1314"/>
      <c r="B48" s="1363">
        <f t="shared" si="1"/>
        <v>29</v>
      </c>
      <c r="C48" s="1305" t="s">
        <v>1577</v>
      </c>
      <c r="D48" s="1334"/>
      <c r="E48" s="1340" t="s">
        <v>1653</v>
      </c>
      <c r="F48" s="1537"/>
      <c r="G48" s="1335">
        <f>IF($D$13=списки!$B$3,D48,'Серии планировка'!$J$75)</f>
        <v>0</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25">
      <c r="A49" s="1314"/>
      <c r="B49" s="1363">
        <f t="shared" si="1"/>
        <v>30</v>
      </c>
      <c r="C49" s="1305" t="s">
        <v>1813</v>
      </c>
      <c r="D49" s="1334"/>
      <c r="E49" s="1340" t="s">
        <v>1812</v>
      </c>
      <c r="F49" s="1537" t="str">
        <f>IF(AND(D49&lt;&gt;0,$D$13="нет в списке",OR(D49&gt;=D43,D49&lt;=0.4*D43)),"Ошибка. Значение должно быть не меньше 0,4 и не больше 1,5 от площади МКД ","")</f>
        <v/>
      </c>
      <c r="G49" s="1335">
        <f>IF($D$13=списки!$B$3,D49,'Серии планировка'!N75)</f>
        <v>0</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25">
      <c r="B50" s="1363">
        <f t="shared" si="1"/>
        <v>31</v>
      </c>
      <c r="C50" s="1306" t="s">
        <v>1797</v>
      </c>
      <c r="D50" s="1330">
        <f>D49-D52-D55-D58-D65</f>
        <v>0</v>
      </c>
      <c r="E50" s="1340" t="s">
        <v>1809</v>
      </c>
      <c r="F50" s="1537" t="str">
        <f>IF(AND(D50&lt;&gt;0,$D$13="нет в списке",D50&gt;=D49),"Ошибка. Значение должно быть меньше площади фасадов","")</f>
        <v/>
      </c>
      <c r="G50" s="1337">
        <f>G49-G52-G55-G58-G65</f>
        <v>0</v>
      </c>
      <c r="H50" s="18"/>
      <c r="I50" s="1335">
        <f t="shared" si="2"/>
        <v>0</v>
      </c>
      <c r="J50" s="10"/>
      <c r="K50" s="10"/>
      <c r="L50" s="18"/>
      <c r="M50" s="18"/>
      <c r="N50" s="18"/>
      <c r="O50" s="18"/>
      <c r="P50" s="18"/>
      <c r="Q50" s="18"/>
      <c r="R50" s="18"/>
      <c r="S50" s="18"/>
      <c r="T50" s="18"/>
      <c r="U50" s="18"/>
      <c r="V50" s="18"/>
      <c r="W50" s="18"/>
      <c r="X50" s="18"/>
      <c r="Y50" s="18"/>
      <c r="Z50" s="18"/>
    </row>
    <row r="51" spans="1:26" ht="36" x14ac:dyDescent="0.25">
      <c r="B51" s="1363">
        <f t="shared" si="1"/>
        <v>32</v>
      </c>
      <c r="C51" s="1328" t="s">
        <v>821</v>
      </c>
      <c r="D51" s="1327"/>
      <c r="E51" s="1340" t="s">
        <v>1810</v>
      </c>
      <c r="F51" s="1537" t="str">
        <f>IF(AND(D13="нет в списке",OR(D32&gt;G51,D33&gt;G54)),"Вы насчитали больше замененных окон, чем всего окон в МКД. Проверьте подсчет","")</f>
        <v/>
      </c>
      <c r="G51" s="1335">
        <f>IF($D$13=списки!$B$3,D51,'Серии планировка'!Q75)</f>
        <v>0</v>
      </c>
      <c r="H51" s="18"/>
      <c r="I51" s="1335">
        <f t="shared" si="2"/>
        <v>0</v>
      </c>
      <c r="J51" s="10"/>
      <c r="K51" s="10"/>
      <c r="L51" s="18"/>
      <c r="M51" s="18"/>
      <c r="N51" s="18"/>
      <c r="O51" s="18"/>
      <c r="P51" s="18"/>
      <c r="Q51" s="18"/>
      <c r="R51" s="18"/>
      <c r="S51" s="18"/>
      <c r="T51" s="18"/>
      <c r="U51" s="18"/>
      <c r="V51" s="18"/>
      <c r="W51" s="18"/>
      <c r="X51" s="18"/>
      <c r="Y51" s="18"/>
      <c r="Z51" s="18"/>
    </row>
    <row r="52" spans="1:26" ht="17.25" x14ac:dyDescent="0.25">
      <c r="B52" s="1363">
        <f t="shared" si="1"/>
        <v>33</v>
      </c>
      <c r="C52" s="1323" t="s">
        <v>1798</v>
      </c>
      <c r="D52" s="1332"/>
      <c r="E52" s="1340" t="s">
        <v>1811</v>
      </c>
      <c r="F52" s="1537"/>
      <c r="G52" s="1335">
        <f>IF($D$13=списки!$B$3,D52,'Серии планировка'!T75)</f>
        <v>0</v>
      </c>
      <c r="H52" s="18"/>
      <c r="I52" s="1335">
        <f t="shared" si="2"/>
        <v>0</v>
      </c>
      <c r="J52" s="10"/>
      <c r="K52" s="10"/>
      <c r="L52" s="18"/>
      <c r="M52" s="18"/>
      <c r="N52" s="18"/>
      <c r="O52" s="18"/>
      <c r="P52" s="18"/>
      <c r="Q52" s="18"/>
      <c r="R52" s="18"/>
      <c r="S52" s="18"/>
      <c r="T52" s="18"/>
      <c r="U52" s="18"/>
      <c r="V52" s="18"/>
      <c r="W52" s="18"/>
      <c r="X52" s="18"/>
      <c r="Y52" s="18"/>
      <c r="Z52" s="18"/>
    </row>
    <row r="53" spans="1:26" ht="30" x14ac:dyDescent="0.25">
      <c r="B53" s="1363">
        <f t="shared" si="1"/>
        <v>34</v>
      </c>
      <c r="C53" s="1329" t="s">
        <v>1278</v>
      </c>
      <c r="D53" s="1322"/>
      <c r="E53" s="1340" t="s">
        <v>1815</v>
      </c>
      <c r="F53" s="1537"/>
      <c r="G53" s="1335" t="e">
        <f>'Серии теплотехника'!B45</f>
        <v>#N/A</v>
      </c>
      <c r="H53" s="18"/>
      <c r="I53" s="1335">
        <f t="shared" si="2"/>
        <v>0</v>
      </c>
      <c r="J53" s="10"/>
      <c r="K53" s="10"/>
      <c r="L53" s="18"/>
      <c r="M53" s="18"/>
      <c r="N53" s="18"/>
      <c r="O53" s="18"/>
      <c r="P53" s="18"/>
      <c r="Q53" s="18"/>
      <c r="R53" s="18"/>
      <c r="S53" s="18"/>
      <c r="T53" s="18"/>
      <c r="U53" s="18"/>
      <c r="V53" s="18"/>
      <c r="W53" s="18"/>
      <c r="X53" s="18"/>
      <c r="Y53" s="18"/>
      <c r="Z53" s="18"/>
    </row>
    <row r="54" spans="1:26" ht="24" x14ac:dyDescent="0.25">
      <c r="B54" s="1363">
        <f t="shared" si="1"/>
        <v>35</v>
      </c>
      <c r="C54" s="1329" t="s">
        <v>860</v>
      </c>
      <c r="D54" s="1322"/>
      <c r="E54" s="1340" t="s">
        <v>1896</v>
      </c>
      <c r="F54" s="1537"/>
      <c r="G54" s="1335">
        <f>IF($D$13=списки!$B$3,D54,'Серии планировка'!R75)</f>
        <v>0</v>
      </c>
      <c r="H54" s="18"/>
      <c r="I54" s="1335">
        <f t="shared" si="2"/>
        <v>0</v>
      </c>
      <c r="J54" s="10"/>
      <c r="K54" s="18"/>
      <c r="L54" s="18"/>
      <c r="M54" s="18"/>
      <c r="N54" s="18"/>
      <c r="O54" s="18"/>
      <c r="P54" s="18"/>
      <c r="Q54" s="18"/>
      <c r="R54" s="18"/>
      <c r="S54" s="18"/>
      <c r="T54" s="18"/>
      <c r="U54" s="18"/>
      <c r="V54" s="18"/>
      <c r="W54" s="18"/>
      <c r="X54" s="18"/>
      <c r="Y54" s="18"/>
      <c r="Z54" s="18"/>
    </row>
    <row r="55" spans="1:26" ht="24" x14ac:dyDescent="0.25">
      <c r="B55" s="1363">
        <f t="shared" si="1"/>
        <v>36</v>
      </c>
      <c r="C55" s="1325" t="s">
        <v>1799</v>
      </c>
      <c r="D55" s="1331"/>
      <c r="E55" s="1340" t="s">
        <v>1816</v>
      </c>
      <c r="F55" s="1537"/>
      <c r="G55" s="1335">
        <f>IF($D$13=списки!$B$3,D55,'Серии планировка'!U75)</f>
        <v>0</v>
      </c>
      <c r="H55" s="18"/>
      <c r="I55" s="1335">
        <f t="shared" si="2"/>
        <v>0</v>
      </c>
      <c r="J55" s="10"/>
      <c r="K55" s="10"/>
      <c r="L55" s="18"/>
      <c r="M55" s="18"/>
      <c r="N55" s="18"/>
      <c r="O55" s="18"/>
      <c r="P55" s="18"/>
      <c r="Q55" s="18"/>
      <c r="R55" s="18"/>
      <c r="S55" s="18"/>
      <c r="T55" s="18"/>
      <c r="U55" s="18"/>
      <c r="V55" s="18"/>
      <c r="W55" s="18"/>
      <c r="X55" s="18"/>
      <c r="Y55" s="18"/>
      <c r="Z55" s="18"/>
    </row>
    <row r="56" spans="1:26" ht="30" x14ac:dyDescent="0.25">
      <c r="B56" s="1363">
        <f t="shared" si="1"/>
        <v>37</v>
      </c>
      <c r="C56" s="1329" t="s">
        <v>758</v>
      </c>
      <c r="D56" s="1322"/>
      <c r="E56" s="1340" t="s">
        <v>1817</v>
      </c>
      <c r="F56" s="1537"/>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25">
      <c r="A57" s="1314"/>
      <c r="B57" s="1363">
        <f>B56+1</f>
        <v>38</v>
      </c>
      <c r="C57" s="1329" t="s">
        <v>1612</v>
      </c>
      <c r="D57" s="1326"/>
      <c r="E57" s="1340" t="s">
        <v>1818</v>
      </c>
      <c r="F57" s="1537"/>
      <c r="G57" s="1338">
        <f>IF($D$13=списки!$B$3,D57,ROUND((G51+G54)/D18*D22/('Серии планировка'!F75/'Серии планировка'!D75),0))</f>
        <v>0</v>
      </c>
      <c r="H57" s="18"/>
      <c r="I57" s="1335"/>
      <c r="J57" s="18"/>
      <c r="K57" s="18"/>
      <c r="L57" s="18"/>
      <c r="M57" s="18"/>
      <c r="N57" s="18"/>
      <c r="O57" s="18"/>
      <c r="P57" s="18"/>
      <c r="Q57" s="18"/>
      <c r="R57" s="18"/>
      <c r="S57" s="18"/>
      <c r="T57" s="18"/>
      <c r="U57" s="18"/>
      <c r="V57" s="18"/>
      <c r="W57" s="18"/>
      <c r="X57" s="18"/>
      <c r="Y57" s="18"/>
      <c r="Z57" s="18"/>
    </row>
    <row r="58" spans="1:26" s="17" customFormat="1" ht="24" x14ac:dyDescent="0.25">
      <c r="A58" s="1314"/>
      <c r="B58" s="1363">
        <f>B57+1</f>
        <v>39</v>
      </c>
      <c r="C58" s="1324" t="s">
        <v>1814</v>
      </c>
      <c r="D58" s="1331"/>
      <c r="E58" s="1340" t="s">
        <v>1816</v>
      </c>
      <c r="F58" s="1537"/>
      <c r="G58" s="1338">
        <f>IF($D$13=списки!$B$3,D58,(G52+G55)/D18*D22/('Серии планировка'!F75/'Серии планировка'!D75))</f>
        <v>0</v>
      </c>
      <c r="H58" s="18"/>
      <c r="I58" s="1335"/>
      <c r="J58" s="29"/>
      <c r="K58" s="18"/>
      <c r="L58" s="18"/>
      <c r="M58" s="18"/>
      <c r="N58" s="18"/>
      <c r="O58" s="18"/>
      <c r="P58" s="18"/>
      <c r="Q58" s="18"/>
      <c r="R58" s="18"/>
      <c r="S58" s="18"/>
      <c r="T58" s="18"/>
      <c r="U58" s="18"/>
      <c r="V58" s="18"/>
      <c r="W58" s="18"/>
      <c r="X58" s="18"/>
      <c r="Y58" s="18"/>
      <c r="Z58" s="18"/>
    </row>
    <row r="59" spans="1:26" ht="32.25" x14ac:dyDescent="0.25">
      <c r="B59" s="1363">
        <f t="shared" si="1"/>
        <v>40</v>
      </c>
      <c r="C59" s="1305" t="s">
        <v>1800</v>
      </c>
      <c r="D59" s="1331"/>
      <c r="E59" s="1340" t="s">
        <v>1821</v>
      </c>
      <c r="F59" s="1537"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0</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25">
      <c r="A60" s="1314"/>
      <c r="B60" s="1363">
        <f t="shared" si="1"/>
        <v>41</v>
      </c>
      <c r="C60" s="1305" t="s">
        <v>1801</v>
      </c>
      <c r="D60" s="1331"/>
      <c r="E60" s="1340" t="s">
        <v>1819</v>
      </c>
      <c r="F60" s="1537"/>
      <c r="G60" s="1335">
        <f>IF($D$13=списки!$B$3,D60,IF(AND(списки!D30=1,списки!D31=0),'Серии планировка'!X75,0))</f>
        <v>0</v>
      </c>
      <c r="H60" s="18"/>
      <c r="I60" s="1335">
        <f t="shared" si="2"/>
        <v>0</v>
      </c>
      <c r="J60" s="18"/>
      <c r="K60" s="18"/>
      <c r="L60" s="18"/>
      <c r="M60" s="18"/>
      <c r="N60" s="18"/>
      <c r="O60" s="18"/>
      <c r="P60" s="18"/>
      <c r="Q60" s="18"/>
      <c r="R60" s="18"/>
      <c r="S60" s="18"/>
      <c r="T60" s="18"/>
      <c r="U60" s="18"/>
      <c r="V60" s="18"/>
      <c r="W60" s="18"/>
      <c r="X60" s="18"/>
      <c r="Y60" s="18"/>
      <c r="Z60" s="18"/>
    </row>
    <row r="61" spans="1:26" ht="36" x14ac:dyDescent="0.25">
      <c r="B61" s="1363">
        <f t="shared" si="1"/>
        <v>42</v>
      </c>
      <c r="C61" s="1305" t="s">
        <v>1802</v>
      </c>
      <c r="D61" s="1331"/>
      <c r="E61" s="1340" t="s">
        <v>1820</v>
      </c>
      <c r="F61" s="1537"/>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25">
      <c r="B62" s="1363">
        <f t="shared" si="1"/>
        <v>43</v>
      </c>
      <c r="C62" s="1305" t="s">
        <v>1803</v>
      </c>
      <c r="D62" s="1331"/>
      <c r="E62" s="1340" t="s">
        <v>1822</v>
      </c>
      <c r="F62" s="1537"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0</v>
      </c>
      <c r="H62" s="18"/>
      <c r="I62" s="1335">
        <f t="shared" si="2"/>
        <v>0</v>
      </c>
      <c r="J62" s="10"/>
      <c r="K62" s="10"/>
      <c r="L62" s="18"/>
      <c r="M62" s="18"/>
      <c r="N62" s="18"/>
      <c r="O62" s="18"/>
      <c r="P62" s="18"/>
      <c r="Q62" s="18"/>
      <c r="R62" s="18"/>
      <c r="S62" s="18"/>
      <c r="T62" s="18"/>
      <c r="U62" s="18"/>
      <c r="V62" s="18"/>
      <c r="W62" s="18"/>
      <c r="X62" s="18"/>
      <c r="Y62" s="18"/>
      <c r="Z62" s="18"/>
    </row>
    <row r="63" spans="1:26" s="17" customFormat="1" ht="47.25" x14ac:dyDescent="0.25">
      <c r="A63" s="1314"/>
      <c r="B63" s="1363">
        <f t="shared" si="1"/>
        <v>44</v>
      </c>
      <c r="C63" s="1305" t="s">
        <v>1804</v>
      </c>
      <c r="D63" s="1331"/>
      <c r="E63" s="1340" t="s">
        <v>1823</v>
      </c>
      <c r="F63" s="1537"/>
      <c r="G63" s="1338">
        <f>IF($D$13=списки!$B$3,D63,IF(OR(списки!D32=0,AND(списки!D32=1,списки!D33=1)),'Серии планировка'!Z75,0))</f>
        <v>0</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25">
      <c r="A64" s="1314"/>
      <c r="B64" s="1363">
        <f t="shared" si="1"/>
        <v>45</v>
      </c>
      <c r="C64" s="1305" t="s">
        <v>1344</v>
      </c>
      <c r="D64" s="1326"/>
      <c r="E64" s="1340"/>
      <c r="F64" s="1537" t="str">
        <f>IF(AND(D64&lt;&gt;0,$D$13="нет в списке",OR(D64&lt;D16,D64&gt;4*D16)),"Ошибка. Входных дверей может быть от 1 до 3 на секцию (подъезд)","")</f>
        <v/>
      </c>
      <c r="G64" s="1335">
        <f>IF($D$13=списки!$B$3,D64,'Серии планировка'!V75)</f>
        <v>0</v>
      </c>
      <c r="H64" s="18"/>
      <c r="I64" s="1335">
        <f t="shared" si="2"/>
        <v>0</v>
      </c>
      <c r="J64" s="18"/>
      <c r="K64" s="18"/>
      <c r="L64" s="18"/>
      <c r="M64" s="18"/>
      <c r="N64" s="18"/>
      <c r="O64" s="18"/>
      <c r="P64" s="18"/>
      <c r="Q64" s="18"/>
      <c r="R64" s="18"/>
      <c r="S64" s="18"/>
      <c r="T64" s="18"/>
      <c r="U64" s="18"/>
      <c r="V64" s="18"/>
      <c r="W64" s="18"/>
      <c r="X64" s="18"/>
      <c r="Y64" s="18"/>
      <c r="Z64" s="18"/>
    </row>
    <row r="65" spans="1:26" s="8" customFormat="1" ht="17.25" x14ac:dyDescent="0.25">
      <c r="A65" s="1314"/>
      <c r="B65" s="1363">
        <f t="shared" si="1"/>
        <v>46</v>
      </c>
      <c r="C65" s="1305" t="s">
        <v>1824</v>
      </c>
      <c r="D65" s="1331"/>
      <c r="E65" s="1340"/>
      <c r="F65" s="1537" t="str">
        <f>IF(AND(D65&lt;&gt;0,$D$13="нет в списке",OR(D65&lt;D64*2,D65&gt;=6*D64)),"Ошибка. Площадь одной входной двери должна быть в пределах 2-5 м2","")</f>
        <v/>
      </c>
      <c r="G65" s="1335">
        <f>IF($D$13=списки!$B$3,D65,'Серии планировка'!W75)</f>
        <v>0</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25">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Неполный/неверный ввод!</v>
      </c>
      <c r="F66" s="1538"/>
      <c r="G66" s="1335"/>
      <c r="H66" s="1"/>
      <c r="I66" s="1"/>
      <c r="J66" s="10"/>
      <c r="K66" s="10"/>
      <c r="L66" s="18"/>
      <c r="M66" s="18"/>
      <c r="N66" s="18"/>
      <c r="O66" s="18"/>
      <c r="P66" s="18"/>
      <c r="Q66" s="18"/>
      <c r="R66" s="18"/>
      <c r="S66" s="18"/>
      <c r="T66" s="18"/>
      <c r="U66" s="18"/>
      <c r="V66" s="18"/>
      <c r="W66" s="18"/>
      <c r="X66" s="18"/>
      <c r="Y66" s="18"/>
      <c r="Z66" s="18"/>
    </row>
    <row r="67" spans="1:26" s="17" customFormat="1" x14ac:dyDescent="0.25">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25">
      <c r="A68" s="1314"/>
      <c r="B68" s="1314"/>
      <c r="C68" s="1559" t="s">
        <v>1825</v>
      </c>
      <c r="D68" s="1560"/>
      <c r="E68" s="1561"/>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25">
      <c r="A69" s="1314"/>
      <c r="B69" s="1363">
        <f>B65+1</f>
        <v>47</v>
      </c>
      <c r="C69" s="1345" t="s">
        <v>514</v>
      </c>
      <c r="D69" s="83"/>
      <c r="E69" s="1573"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25">
      <c r="A70" s="1314"/>
      <c r="B70" s="1363">
        <f>B69+1</f>
        <v>48</v>
      </c>
      <c r="C70" s="1345" t="s">
        <v>1603</v>
      </c>
      <c r="D70" s="83"/>
      <c r="E70" s="1574"/>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314"/>
      <c r="B71" s="1363">
        <f t="shared" ref="B71:B75" si="3">B70+1</f>
        <v>49</v>
      </c>
      <c r="C71" s="1345" t="s">
        <v>1604</v>
      </c>
      <c r="D71" s="83"/>
      <c r="E71" s="1574"/>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314"/>
      <c r="B72" s="1363">
        <f t="shared" si="3"/>
        <v>50</v>
      </c>
      <c r="C72" s="1345" t="s">
        <v>1608</v>
      </c>
      <c r="D72" s="83"/>
      <c r="E72" s="1574"/>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314"/>
      <c r="B73" s="1363">
        <f t="shared" si="3"/>
        <v>51</v>
      </c>
      <c r="C73" s="1345" t="s">
        <v>1605</v>
      </c>
      <c r="D73" s="83"/>
      <c r="E73" s="1574"/>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314"/>
      <c r="B74" s="1363">
        <f t="shared" si="3"/>
        <v>52</v>
      </c>
      <c r="C74" s="1345" t="s">
        <v>1606</v>
      </c>
      <c r="D74" s="83"/>
      <c r="E74" s="1574"/>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314"/>
      <c r="B75" s="1363">
        <f t="shared" si="3"/>
        <v>53</v>
      </c>
      <c r="C75" s="1345" t="s">
        <v>1614</v>
      </c>
      <c r="D75" s="83"/>
      <c r="E75" s="1575"/>
      <c r="F75" s="18"/>
      <c r="G75" s="18"/>
      <c r="H75" s="18"/>
      <c r="I75" s="18"/>
      <c r="J75" s="18"/>
      <c r="K75" s="18"/>
      <c r="L75" s="18"/>
      <c r="M75" s="18"/>
      <c r="N75" s="18"/>
      <c r="O75" s="18"/>
      <c r="P75" s="18"/>
      <c r="Q75" s="18"/>
      <c r="R75" s="18"/>
      <c r="S75" s="18"/>
      <c r="T75" s="18"/>
      <c r="U75" s="18"/>
      <c r="V75" s="18"/>
      <c r="W75" s="18"/>
      <c r="X75" s="18"/>
      <c r="Y75" s="18"/>
      <c r="Z75" s="18"/>
    </row>
    <row r="76" spans="1:26" x14ac:dyDescent="0.25">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75" thickBot="1" x14ac:dyDescent="0.3">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
      <c r="A78" s="1470"/>
      <c r="B78" s="1392">
        <f>3/8</f>
        <v>0.375</v>
      </c>
      <c r="C78" s="1554" t="s">
        <v>1856</v>
      </c>
      <c r="D78" s="1554"/>
      <c r="E78" s="1554"/>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
      <c r="B79" s="1314"/>
      <c r="C79" s="1608" t="s">
        <v>766</v>
      </c>
      <c r="D79" s="1608"/>
      <c r="E79" s="1608"/>
      <c r="F79" s="1"/>
      <c r="G79" s="1"/>
      <c r="H79" s="1"/>
      <c r="I79" s="1"/>
      <c r="J79" s="10"/>
      <c r="K79" s="10"/>
      <c r="L79" s="18"/>
      <c r="M79" s="18"/>
      <c r="N79" s="18"/>
      <c r="O79" s="18"/>
      <c r="P79" s="18"/>
      <c r="Q79" s="18"/>
      <c r="R79" s="18"/>
      <c r="S79" s="18"/>
      <c r="T79" s="18"/>
      <c r="U79" s="18"/>
      <c r="V79" s="18"/>
      <c r="W79" s="18"/>
      <c r="X79" s="18"/>
      <c r="Y79" s="18"/>
      <c r="Z79" s="18"/>
    </row>
    <row r="80" spans="1:26" x14ac:dyDescent="0.25">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25">
      <c r="B81" s="1314"/>
      <c r="C81" s="1564" t="s">
        <v>764</v>
      </c>
      <c r="D81" s="1564"/>
      <c r="E81" s="1564"/>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25">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9.5" x14ac:dyDescent="0.25">
      <c r="B83" s="1363">
        <f>B82+1</f>
        <v>55</v>
      </c>
      <c r="C83" s="1303" t="s">
        <v>1831</v>
      </c>
      <c r="D83" s="1346">
        <v>16</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25">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25">
      <c r="B85" s="1314"/>
      <c r="C85" s="1553" t="str">
        <f>IF(OR(D82="",D83="",D84=""),"Введите температуры, пользуясь подсказками. Если чердак или подвал отсутствуют, оставьте любое из предлагаемых значений","")</f>
        <v/>
      </c>
      <c r="D85" s="1553"/>
      <c r="E85" s="1553"/>
      <c r="F85" s="1"/>
      <c r="G85" s="1"/>
      <c r="H85" s="1"/>
      <c r="I85" s="1"/>
      <c r="J85" s="10"/>
      <c r="K85" s="10"/>
      <c r="L85" s="18"/>
      <c r="M85" s="18"/>
      <c r="N85" s="18"/>
      <c r="O85" s="18"/>
      <c r="P85" s="18"/>
      <c r="Q85" s="18"/>
      <c r="R85" s="18"/>
      <c r="S85" s="18"/>
      <c r="T85" s="18"/>
      <c r="U85" s="18"/>
      <c r="V85" s="18"/>
      <c r="W85" s="18"/>
      <c r="X85" s="18"/>
      <c r="Y85" s="18"/>
      <c r="Z85" s="18"/>
    </row>
    <row r="86" spans="2:26" x14ac:dyDescent="0.25">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25">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25">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25">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25">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25">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25">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25">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25">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
      <c r="B95" s="1314"/>
      <c r="C95" s="1562" t="s">
        <v>784</v>
      </c>
      <c r="D95" s="1562"/>
      <c r="E95" s="1562"/>
      <c r="F95" s="1"/>
      <c r="G95" s="1"/>
      <c r="H95" s="1"/>
      <c r="I95" s="1"/>
      <c r="J95" s="10"/>
      <c r="K95" s="10"/>
      <c r="L95" s="18"/>
      <c r="M95" s="18"/>
      <c r="N95" s="18"/>
      <c r="O95" s="18"/>
      <c r="P95" s="18"/>
      <c r="Q95" s="18"/>
      <c r="R95" s="18"/>
      <c r="S95" s="18"/>
      <c r="T95" s="18"/>
      <c r="U95" s="18"/>
      <c r="V95" s="18"/>
      <c r="W95" s="18"/>
      <c r="X95" s="18"/>
      <c r="Y95" s="18"/>
      <c r="Z95" s="18"/>
    </row>
    <row r="96" spans="2:26" x14ac:dyDescent="0.25">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25">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25">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25">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25">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25">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25">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25">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25">
      <c r="B105" s="1314"/>
      <c r="C105" s="1564" t="s">
        <v>785</v>
      </c>
      <c r="D105" s="1564"/>
      <c r="E105" s="1564"/>
      <c r="F105" s="1"/>
      <c r="G105" s="1"/>
      <c r="H105" s="1"/>
      <c r="I105" s="1"/>
      <c r="J105" s="10"/>
      <c r="K105" s="10"/>
      <c r="L105" s="18"/>
      <c r="M105" s="18"/>
      <c r="N105" s="18"/>
      <c r="O105" s="18"/>
      <c r="P105" s="18"/>
      <c r="Q105" s="18"/>
      <c r="R105" s="18"/>
      <c r="S105" s="18"/>
      <c r="T105" s="18"/>
      <c r="U105" s="18"/>
      <c r="V105" s="18"/>
      <c r="W105" s="18"/>
      <c r="X105" s="18"/>
      <c r="Y105" s="18"/>
      <c r="Z105" s="18"/>
    </row>
    <row r="106" spans="1:26" ht="64.5" x14ac:dyDescent="0.25">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2.25" x14ac:dyDescent="0.25">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25">
      <c r="B109" s="1363">
        <f t="shared" si="4"/>
        <v>64</v>
      </c>
      <c r="C109" s="1352" t="s">
        <v>1838</v>
      </c>
      <c r="D109" s="81">
        <v>14</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ht="30" x14ac:dyDescent="0.25">
      <c r="B110" s="1363">
        <f t="shared" si="4"/>
        <v>65</v>
      </c>
      <c r="C110" s="1350" t="s">
        <v>786</v>
      </c>
      <c r="D110" s="81" t="s">
        <v>807</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5" x14ac:dyDescent="0.25">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25">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25">
      <c r="B113" s="1314"/>
      <c r="C113" s="1563"/>
      <c r="D113" s="1563"/>
      <c r="E113" s="1563"/>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25">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25">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25">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25">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25">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25">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
      <c r="A126" s="1314"/>
      <c r="B126" s="1314"/>
      <c r="C126" s="1562" t="s">
        <v>972</v>
      </c>
      <c r="D126" s="1562"/>
      <c r="E126" s="1562"/>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25">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25">
      <c r="A128" s="1314"/>
      <c r="B128" s="1314"/>
      <c r="C128" s="1546" t="s">
        <v>1003</v>
      </c>
      <c r="D128" s="1546"/>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25">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25">
      <c r="A130" s="1314"/>
      <c r="B130" s="1363">
        <f>B124+1</f>
        <v>70</v>
      </c>
      <c r="C130" s="1365" t="s">
        <v>1845</v>
      </c>
      <c r="D130" s="1368">
        <v>2920</v>
      </c>
      <c r="E130" s="1565" t="s">
        <v>983</v>
      </c>
      <c r="F130" s="1369" t="s">
        <v>977</v>
      </c>
      <c r="G130" s="81"/>
      <c r="H130" s="81"/>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25">
      <c r="A131" s="1314"/>
      <c r="B131" s="1363">
        <f>B130+1</f>
        <v>71</v>
      </c>
      <c r="C131" s="1365" t="s">
        <v>1846</v>
      </c>
      <c r="D131" s="1368">
        <v>2920</v>
      </c>
      <c r="E131" s="1566"/>
      <c r="F131" s="1369" t="s">
        <v>977</v>
      </c>
      <c r="G131" s="81"/>
      <c r="H131" s="81"/>
      <c r="I131" s="1369" t="s">
        <v>467</v>
      </c>
      <c r="J131" s="18"/>
      <c r="K131" s="18"/>
      <c r="L131" s="18"/>
      <c r="M131" s="18"/>
      <c r="N131" s="18"/>
      <c r="O131" s="18"/>
      <c r="P131" s="18"/>
      <c r="Q131" s="18"/>
      <c r="R131" s="18"/>
      <c r="S131" s="18"/>
      <c r="T131" s="18"/>
      <c r="U131" s="18"/>
      <c r="V131" s="18"/>
      <c r="W131" s="18"/>
      <c r="X131" s="18"/>
      <c r="Y131" s="18"/>
      <c r="Z131" s="18"/>
    </row>
    <row r="132" spans="1:26" s="17" customFormat="1" ht="38.25" x14ac:dyDescent="0.25">
      <c r="A132" s="1314"/>
      <c r="B132" s="1363">
        <f t="shared" ref="B132:B134" si="5">B131+1</f>
        <v>72</v>
      </c>
      <c r="C132" s="1365" t="s">
        <v>1847</v>
      </c>
      <c r="D132" s="1368">
        <v>4380</v>
      </c>
      <c r="E132" s="1366" t="s">
        <v>986</v>
      </c>
      <c r="F132" s="1369" t="s">
        <v>977</v>
      </c>
      <c r="G132" s="81"/>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25">
      <c r="A133" s="1314"/>
      <c r="B133" s="1363">
        <f t="shared" si="5"/>
        <v>73</v>
      </c>
      <c r="C133" s="1365" t="s">
        <v>1844</v>
      </c>
      <c r="D133" s="1368">
        <v>300</v>
      </c>
      <c r="E133" s="1366" t="s">
        <v>987</v>
      </c>
      <c r="F133" s="1369" t="s">
        <v>977</v>
      </c>
      <c r="G133" s="81"/>
      <c r="H133" s="81"/>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314"/>
      <c r="B134" s="1363">
        <f t="shared" si="5"/>
        <v>74</v>
      </c>
      <c r="C134" s="1365" t="s">
        <v>1487</v>
      </c>
      <c r="D134" s="1368">
        <v>100</v>
      </c>
      <c r="E134" s="1366" t="s">
        <v>988</v>
      </c>
      <c r="F134" s="1369" t="s">
        <v>977</v>
      </c>
      <c r="G134" s="81"/>
      <c r="H134" s="81"/>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25">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25">
      <c r="A136" s="1314"/>
      <c r="B136" s="1314"/>
      <c r="C136" s="1546" t="s">
        <v>1488</v>
      </c>
      <c r="D136" s="1546"/>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5" x14ac:dyDescent="0.25">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25">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5.5" x14ac:dyDescent="0.25">
      <c r="A140" s="1314"/>
      <c r="B140" s="1363">
        <f t="shared" si="6"/>
        <v>78</v>
      </c>
      <c r="C140" s="1302" t="s">
        <v>1931</v>
      </c>
      <c r="D140" s="81">
        <v>2200</v>
      </c>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25">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314"/>
      <c r="B142" s="1314"/>
      <c r="C142" s="1546" t="s">
        <v>1489</v>
      </c>
      <c r="D142" s="1546"/>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25">
      <c r="A143" s="1314"/>
      <c r="B143" s="1363">
        <f>B140+1</f>
        <v>79</v>
      </c>
      <c r="C143" s="1376" t="s">
        <v>1848</v>
      </c>
      <c r="D143" s="1378"/>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5" x14ac:dyDescent="0.25">
      <c r="A144" s="1314"/>
      <c r="B144" s="1363">
        <f>B143+1</f>
        <v>80</v>
      </c>
      <c r="C144" s="1377" t="s">
        <v>1306</v>
      </c>
      <c r="D144" s="1380"/>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25">
      <c r="A145" s="1314"/>
      <c r="B145" s="1363">
        <f t="shared" ref="B145:B154" si="7">B144+1</f>
        <v>81</v>
      </c>
      <c r="C145" s="1374" t="s">
        <v>1327</v>
      </c>
      <c r="D145" s="1380"/>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38.25" x14ac:dyDescent="0.25">
      <c r="A146" s="1314"/>
      <c r="B146" s="1363">
        <f t="shared" si="7"/>
        <v>82</v>
      </c>
      <c r="C146" s="1375" t="s">
        <v>1932</v>
      </c>
      <c r="D146" s="1383" t="str">
        <f>IFERROR('Расчет базового уровня'!D146*24,"")</f>
        <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0" x14ac:dyDescent="0.25">
      <c r="A147" s="1314"/>
      <c r="B147" s="1363">
        <f t="shared" si="7"/>
        <v>83</v>
      </c>
      <c r="C147" s="1376" t="s">
        <v>1540</v>
      </c>
      <c r="D147" s="1378"/>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5" x14ac:dyDescent="0.25">
      <c r="A148" s="1314"/>
      <c r="B148" s="1363">
        <f>B147+1</f>
        <v>84</v>
      </c>
      <c r="C148" s="1377" t="s">
        <v>1306</v>
      </c>
      <c r="D148" s="1380"/>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25">
      <c r="A149" s="1314"/>
      <c r="B149" s="1363">
        <f t="shared" si="7"/>
        <v>85</v>
      </c>
      <c r="C149" s="1374" t="s">
        <v>1327</v>
      </c>
      <c r="D149" s="1380"/>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25">
      <c r="A150" s="1314"/>
      <c r="B150" s="1363">
        <f t="shared" si="7"/>
        <v>86</v>
      </c>
      <c r="C150" s="1375" t="s">
        <v>1932</v>
      </c>
      <c r="D150" s="1383">
        <f>(365-D109)*24</f>
        <v>8424</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30" x14ac:dyDescent="0.25">
      <c r="A151" s="1314"/>
      <c r="B151" s="1363">
        <f t="shared" si="7"/>
        <v>87</v>
      </c>
      <c r="C151" s="1376" t="s">
        <v>1343</v>
      </c>
      <c r="D151" s="1378"/>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5" x14ac:dyDescent="0.25">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25">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25">
      <c r="A154" s="1314"/>
      <c r="B154" s="1363">
        <f t="shared" si="7"/>
        <v>90</v>
      </c>
      <c r="C154" s="1375" t="s">
        <v>1932</v>
      </c>
      <c r="D154" s="1383">
        <v>8760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25">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314"/>
      <c r="B157" s="1314"/>
      <c r="C157" s="1567" t="s">
        <v>1490</v>
      </c>
      <c r="D157" s="1567"/>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25">
      <c r="A158" s="1314"/>
      <c r="B158" s="1363">
        <f>B154+1</f>
        <v>91</v>
      </c>
      <c r="C158" s="1302" t="s">
        <v>1393</v>
      </c>
      <c r="D158" s="81"/>
      <c r="E158" s="1568"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314"/>
      <c r="B159" s="1363">
        <f>B158+1</f>
        <v>92</v>
      </c>
      <c r="C159" s="1365" t="s">
        <v>1933</v>
      </c>
      <c r="D159" s="81"/>
      <c r="E159" s="1569"/>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25">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75" thickBot="1" x14ac:dyDescent="0.3">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50000000000003" customHeight="1" thickBot="1" x14ac:dyDescent="0.3">
      <c r="A162" s="1314"/>
      <c r="B162" s="1392">
        <f>4/8</f>
        <v>0.5</v>
      </c>
      <c r="C162" s="1554" t="s">
        <v>1857</v>
      </c>
      <c r="D162" s="1554"/>
      <c r="E162" s="1554"/>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25">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25">
      <c r="A164" s="1314"/>
      <c r="B164" s="1363">
        <f>B159+1</f>
        <v>93</v>
      </c>
      <c r="C164" s="1389" t="s">
        <v>1851</v>
      </c>
      <c r="D164" s="81"/>
      <c r="E164" s="1610"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25">
      <c r="A165" s="1314"/>
      <c r="B165" s="1363">
        <f>B164+1</f>
        <v>94</v>
      </c>
      <c r="C165" s="1390" t="s">
        <v>1850</v>
      </c>
      <c r="D165" s="81"/>
      <c r="E165" s="1611"/>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314"/>
      <c r="B166" s="1363">
        <f t="shared" ref="B166:B167" si="8">B165+1</f>
        <v>95</v>
      </c>
      <c r="C166" s="1390" t="s">
        <v>1853</v>
      </c>
      <c r="D166" s="81"/>
      <c r="E166" s="1611"/>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5" x14ac:dyDescent="0.25">
      <c r="A167" s="1314"/>
      <c r="B167" s="1363">
        <f t="shared" si="8"/>
        <v>96</v>
      </c>
      <c r="C167" s="1391" t="s">
        <v>1852</v>
      </c>
      <c r="D167" s="81"/>
      <c r="E167" s="1612"/>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25">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314"/>
      <c r="B170" s="1363"/>
      <c r="C170" s="1618" t="s">
        <v>1849</v>
      </c>
      <c r="D170" s="1619"/>
      <c r="E170" s="1610"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2.25" x14ac:dyDescent="0.25">
      <c r="A171" s="1314"/>
      <c r="B171" s="1363">
        <v>97</v>
      </c>
      <c r="C171" s="1387" t="s">
        <v>992</v>
      </c>
      <c r="D171" s="81"/>
      <c r="E171" s="1611"/>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314"/>
      <c r="B172" s="1363">
        <f t="shared" ref="B172" si="9">B171+1</f>
        <v>98</v>
      </c>
      <c r="C172" s="1387" t="s">
        <v>993</v>
      </c>
      <c r="D172" s="81"/>
      <c r="E172" s="1612"/>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25">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314"/>
      <c r="B175" s="1363"/>
      <c r="C175" s="1618" t="s">
        <v>994</v>
      </c>
      <c r="D175" s="1619"/>
      <c r="E175" s="1610"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2.25" x14ac:dyDescent="0.25">
      <c r="A176" s="1314"/>
      <c r="B176" s="1363">
        <v>99</v>
      </c>
      <c r="C176" s="1303" t="s">
        <v>1854</v>
      </c>
      <c r="D176" s="82"/>
      <c r="E176" s="1611"/>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314"/>
      <c r="B177" s="1363">
        <f t="shared" ref="B177" si="10">B176+1</f>
        <v>100</v>
      </c>
      <c r="C177" s="1303" t="s">
        <v>1855</v>
      </c>
      <c r="D177" s="82"/>
      <c r="E177" s="1612"/>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25">
      <c r="A178" s="1314"/>
      <c r="B178" s="1313"/>
      <c r="C178" s="10"/>
      <c r="D178" s="20" t="str">
        <f>IF(OR(D176="",D177=""),"Введите температурный график!","")</f>
        <v>Введите температурный график!</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25">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25">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25">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25">
      <c r="A182" s="1314"/>
      <c r="B182" s="1313"/>
      <c r="C182" s="1617" t="s">
        <v>1861</v>
      </c>
      <c r="D182" s="1617"/>
      <c r="E182" s="1617"/>
      <c r="F182" s="1617"/>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5" customHeight="1" x14ac:dyDescent="0.25">
      <c r="A183" s="1314"/>
      <c r="B183" s="1313"/>
      <c r="C183" s="1588" t="s">
        <v>995</v>
      </c>
      <c r="D183" s="1615" t="s">
        <v>996</v>
      </c>
      <c r="E183" s="1616"/>
      <c r="F183" s="1616"/>
      <c r="G183" s="18"/>
      <c r="H183" s="10"/>
      <c r="I183" s="10"/>
      <c r="J183" s="1614" t="s">
        <v>1548</v>
      </c>
      <c r="K183" s="1614"/>
      <c r="L183" s="18"/>
      <c r="M183" s="18"/>
      <c r="N183" s="18"/>
      <c r="O183" s="18"/>
      <c r="P183" s="18"/>
      <c r="Q183" s="18"/>
      <c r="R183" s="18"/>
      <c r="S183" s="18"/>
      <c r="T183" s="18"/>
      <c r="U183" s="18"/>
      <c r="V183" s="18"/>
      <c r="W183" s="18"/>
      <c r="X183" s="18"/>
      <c r="Y183" s="18"/>
      <c r="Z183" s="18"/>
    </row>
    <row r="184" spans="1:26" s="8" customFormat="1" ht="47.25" x14ac:dyDescent="0.25">
      <c r="A184" s="1314"/>
      <c r="B184" s="1313"/>
      <c r="C184" s="1588"/>
      <c r="D184" s="1394" t="s">
        <v>1860</v>
      </c>
      <c r="E184" s="1394" t="s">
        <v>1859</v>
      </c>
      <c r="F184" s="1394" t="s">
        <v>1858</v>
      </c>
      <c r="G184" s="18"/>
      <c r="H184" s="10"/>
      <c r="I184" s="10"/>
      <c r="J184" s="1416" t="s">
        <v>998</v>
      </c>
      <c r="K184" s="1416" t="s">
        <v>999</v>
      </c>
      <c r="L184" s="18"/>
      <c r="M184" s="18"/>
      <c r="N184" s="18"/>
      <c r="O184" s="18"/>
      <c r="P184" s="18"/>
      <c r="Q184" s="18"/>
      <c r="R184" s="18"/>
      <c r="S184" s="18"/>
      <c r="T184" s="18"/>
      <c r="U184" s="18"/>
      <c r="V184" s="18"/>
      <c r="W184" s="18"/>
      <c r="X184" s="18"/>
      <c r="Y184" s="18"/>
      <c r="Z184" s="18"/>
    </row>
    <row r="185" spans="1:26" s="8" customFormat="1" ht="15" customHeight="1" x14ac:dyDescent="0.25">
      <c r="A185" s="1314"/>
      <c r="B185" s="1363">
        <f>B177+1</f>
        <v>101</v>
      </c>
      <c r="C185" s="1396" t="s">
        <v>488</v>
      </c>
      <c r="D185" s="1532">
        <f>E185+F185</f>
        <v>0</v>
      </c>
      <c r="E185" s="1397"/>
      <c r="F185" s="1398"/>
      <c r="G185" s="18"/>
      <c r="H185" s="18"/>
      <c r="I185" s="18"/>
      <c r="J185" s="33" t="e">
        <f>IF(E185="",D185-K185,E185)</f>
        <v>#N/A</v>
      </c>
      <c r="K185" s="34" t="e">
        <f>IF('Система ГВС'!F3=2,0,IF(F185=0,(F205*($D$106-IF(F251&gt;150,$D$107,$D$108))+E205*3)/1000,F185))</f>
        <v>#N/A</v>
      </c>
      <c r="L185" s="18"/>
      <c r="M185" s="18"/>
      <c r="N185" s="18"/>
      <c r="O185" s="18"/>
      <c r="P185" s="18"/>
      <c r="Q185" s="18"/>
      <c r="R185" s="18"/>
      <c r="S185" s="18"/>
      <c r="T185" s="18"/>
      <c r="U185" s="18"/>
      <c r="V185" s="18"/>
      <c r="W185" s="18"/>
      <c r="X185" s="18"/>
      <c r="Y185" s="18"/>
      <c r="Z185" s="18"/>
    </row>
    <row r="186" spans="1:26" s="8" customFormat="1" ht="15" customHeight="1" x14ac:dyDescent="0.25">
      <c r="A186" s="1314"/>
      <c r="B186" s="1363">
        <f>B185+1</f>
        <v>102</v>
      </c>
      <c r="C186" s="1399" t="s">
        <v>489</v>
      </c>
      <c r="D186" s="1533">
        <f t="shared" ref="D186:D196" si="11">E186+F186</f>
        <v>0</v>
      </c>
      <c r="E186" s="1400"/>
      <c r="F186" s="1401"/>
      <c r="G186" s="18"/>
      <c r="H186" s="18"/>
      <c r="I186" s="18"/>
      <c r="J186" s="33" t="e">
        <f t="shared" ref="J186:J196" si="12">IF(E186="",D186-K186,E186)</f>
        <v>#N/A</v>
      </c>
      <c r="K186" s="34" t="e">
        <f>IF('Система ГВС'!F4=2,0,IF(F186=0,(F206*($D$106-IF(F252&gt;150,$D$107,$D$108))+E206*3)/1000,F186))</f>
        <v>#N/A</v>
      </c>
      <c r="L186" s="18"/>
      <c r="M186" s="18"/>
      <c r="N186" s="18"/>
      <c r="O186" s="18"/>
      <c r="P186" s="18"/>
      <c r="Q186" s="18"/>
      <c r="R186" s="18"/>
      <c r="S186" s="18"/>
      <c r="T186" s="18"/>
      <c r="U186" s="18"/>
      <c r="V186" s="18"/>
      <c r="W186" s="18"/>
      <c r="X186" s="18"/>
      <c r="Y186" s="18"/>
      <c r="Z186" s="18"/>
    </row>
    <row r="187" spans="1:26" s="8" customFormat="1" ht="15" customHeight="1" x14ac:dyDescent="0.25">
      <c r="A187" s="1314"/>
      <c r="B187" s="1363">
        <f t="shared" ref="B187:B196" si="13">B186+1</f>
        <v>103</v>
      </c>
      <c r="C187" s="1399" t="s">
        <v>490</v>
      </c>
      <c r="D187" s="1533">
        <f t="shared" si="11"/>
        <v>0</v>
      </c>
      <c r="E187" s="1400"/>
      <c r="F187" s="1401"/>
      <c r="G187" s="18"/>
      <c r="H187" s="18"/>
      <c r="I187" s="18"/>
      <c r="J187" s="33" t="e">
        <f t="shared" si="12"/>
        <v>#N/A</v>
      </c>
      <c r="K187" s="34" t="e">
        <f>IF('Система ГВС'!F5=2,0,IF(F187=0,(F207*($D$106-IF(F253&gt;150,$D$107,$D$108))+E207*3)/1000,F187))</f>
        <v>#N/A</v>
      </c>
      <c r="L187" s="18"/>
      <c r="M187" s="18"/>
      <c r="N187" s="18"/>
      <c r="O187" s="18"/>
      <c r="P187" s="18"/>
      <c r="Q187" s="18"/>
      <c r="R187" s="18"/>
      <c r="S187" s="18"/>
      <c r="T187" s="18"/>
      <c r="U187" s="18"/>
      <c r="V187" s="18"/>
      <c r="W187" s="18"/>
      <c r="X187" s="18"/>
      <c r="Y187" s="18"/>
      <c r="Z187" s="18"/>
    </row>
    <row r="188" spans="1:26" s="8" customFormat="1" ht="15" customHeight="1" x14ac:dyDescent="0.25">
      <c r="A188" s="1314"/>
      <c r="B188" s="1363">
        <f t="shared" si="13"/>
        <v>104</v>
      </c>
      <c r="C188" s="1399" t="s">
        <v>491</v>
      </c>
      <c r="D188" s="1533">
        <f t="shared" si="11"/>
        <v>0</v>
      </c>
      <c r="E188" s="1400"/>
      <c r="F188" s="1401"/>
      <c r="G188" s="18"/>
      <c r="H188" s="18"/>
      <c r="I188" s="18"/>
      <c r="J188" s="33" t="e">
        <f t="shared" si="12"/>
        <v>#N/A</v>
      </c>
      <c r="K188" s="34" t="e">
        <f>IF('Система ГВС'!F6=2,0,IF(F188=0,(F208*($D$106-IF(F254&gt;150,$D$107,$D$108))+E208*3)/1000,F188))</f>
        <v>#N/A</v>
      </c>
      <c r="L188" s="18"/>
      <c r="M188" s="18"/>
      <c r="N188" s="18"/>
      <c r="O188" s="18"/>
      <c r="P188" s="18"/>
      <c r="Q188" s="18"/>
      <c r="R188" s="18"/>
      <c r="S188" s="18"/>
      <c r="T188" s="18"/>
      <c r="U188" s="18"/>
      <c r="V188" s="18"/>
      <c r="W188" s="18"/>
      <c r="X188" s="18"/>
      <c r="Y188" s="18"/>
      <c r="Z188" s="18"/>
    </row>
    <row r="189" spans="1:26" s="8" customFormat="1" ht="15" customHeight="1" x14ac:dyDescent="0.25">
      <c r="A189" s="1314"/>
      <c r="B189" s="1363">
        <f t="shared" si="13"/>
        <v>105</v>
      </c>
      <c r="C189" s="1399" t="s">
        <v>805</v>
      </c>
      <c r="D189" s="1533">
        <f t="shared" si="11"/>
        <v>0</v>
      </c>
      <c r="E189" s="1401"/>
      <c r="F189" s="1402"/>
      <c r="G189" s="18"/>
      <c r="H189" s="18"/>
      <c r="I189" s="18"/>
      <c r="J189" s="33" t="e">
        <f t="shared" si="12"/>
        <v>#N/A</v>
      </c>
      <c r="K189" s="34" t="e">
        <f>IF('Система ГВС'!F7=2,0,IF(F189=0,(F209*($D$106-IF(F255&gt;150,$D$107,$D$108))+E209*3)/1000,F189))</f>
        <v>#N/A</v>
      </c>
      <c r="L189" s="18"/>
      <c r="M189" s="18"/>
      <c r="N189" s="18"/>
      <c r="O189" s="18"/>
      <c r="P189" s="18"/>
      <c r="Q189" s="18"/>
      <c r="R189" s="18"/>
      <c r="S189" s="18"/>
      <c r="T189" s="18"/>
      <c r="U189" s="18"/>
      <c r="V189" s="18"/>
      <c r="W189" s="18"/>
      <c r="X189" s="18"/>
      <c r="Y189" s="18"/>
      <c r="Z189" s="18"/>
    </row>
    <row r="190" spans="1:26" s="8" customFormat="1" ht="15" customHeight="1" x14ac:dyDescent="0.25">
      <c r="A190" s="1314"/>
      <c r="B190" s="1363">
        <f t="shared" si="13"/>
        <v>106</v>
      </c>
      <c r="C190" s="1399" t="s">
        <v>806</v>
      </c>
      <c r="D190" s="1533">
        <f t="shared" si="11"/>
        <v>0</v>
      </c>
      <c r="E190" s="1401"/>
      <c r="F190" s="1402"/>
      <c r="G190" s="18"/>
      <c r="H190" s="18"/>
      <c r="I190" s="18"/>
      <c r="J190" s="33" t="e">
        <f t="shared" si="12"/>
        <v>#N/A</v>
      </c>
      <c r="K190" s="34" t="e">
        <f>IF('Система ГВС'!F8=2,0,IF(F190=0,(F210*($D$106-IF(F256&gt;150,$D$107,$D$108))+E210*3)/1000,F190))</f>
        <v>#N/A</v>
      </c>
      <c r="L190" s="18"/>
      <c r="M190" s="18"/>
      <c r="N190" s="18"/>
      <c r="O190" s="18"/>
      <c r="P190" s="18"/>
      <c r="Q190" s="18"/>
      <c r="R190" s="18"/>
      <c r="S190" s="18"/>
      <c r="T190" s="18"/>
      <c r="U190" s="18"/>
      <c r="V190" s="18"/>
      <c r="W190" s="18"/>
      <c r="X190" s="18"/>
      <c r="Y190" s="18"/>
      <c r="Z190" s="18"/>
    </row>
    <row r="191" spans="1:26" s="8" customFormat="1" ht="15" customHeight="1" x14ac:dyDescent="0.25">
      <c r="A191" s="1314"/>
      <c r="B191" s="1363">
        <f t="shared" si="13"/>
        <v>107</v>
      </c>
      <c r="C191" s="1399" t="s">
        <v>807</v>
      </c>
      <c r="D191" s="1533">
        <f t="shared" si="11"/>
        <v>0</v>
      </c>
      <c r="E191" s="1401"/>
      <c r="F191" s="1402"/>
      <c r="G191" s="18"/>
      <c r="H191" s="18"/>
      <c r="I191" s="18"/>
      <c r="J191" s="33" t="e">
        <f t="shared" si="12"/>
        <v>#N/A</v>
      </c>
      <c r="K191" s="34" t="e">
        <f>IF('Система ГВС'!F9=2,0,IF(F191=0,(F211*($D$106-IF(F257&gt;150,$D$107,$D$108))+E211*3)/1000,F191))</f>
        <v>#N/A</v>
      </c>
      <c r="L191" s="18"/>
      <c r="M191" s="18"/>
      <c r="N191" s="18"/>
      <c r="O191" s="18"/>
      <c r="P191" s="18"/>
      <c r="Q191" s="18"/>
      <c r="R191" s="18"/>
      <c r="S191" s="18"/>
      <c r="T191" s="18"/>
      <c r="U191" s="18"/>
      <c r="V191" s="18"/>
      <c r="W191" s="18"/>
      <c r="X191" s="18"/>
      <c r="Y191" s="18"/>
      <c r="Z191" s="18"/>
    </row>
    <row r="192" spans="1:26" s="8" customFormat="1" ht="15" customHeight="1" x14ac:dyDescent="0.25">
      <c r="A192" s="1314"/>
      <c r="B192" s="1363">
        <f t="shared" si="13"/>
        <v>108</v>
      </c>
      <c r="C192" s="1399" t="s">
        <v>808</v>
      </c>
      <c r="D192" s="1533">
        <f t="shared" si="11"/>
        <v>0</v>
      </c>
      <c r="E192" s="1401"/>
      <c r="F192" s="1402"/>
      <c r="G192" s="18"/>
      <c r="H192" s="18"/>
      <c r="I192" s="18"/>
      <c r="J192" s="33" t="e">
        <f t="shared" si="12"/>
        <v>#N/A</v>
      </c>
      <c r="K192" s="34" t="e">
        <f>IF('Система ГВС'!F10=2,0,IF(F192=0,(F212*($D$106-IF(F258&gt;150,$D$107,$D$108))+E212*3)/1000,F192))</f>
        <v>#N/A</v>
      </c>
      <c r="L192" s="18"/>
      <c r="M192" s="18"/>
      <c r="N192" s="18"/>
      <c r="O192" s="18"/>
      <c r="P192" s="18"/>
      <c r="Q192" s="18"/>
      <c r="R192" s="18"/>
      <c r="S192" s="18"/>
      <c r="T192" s="18"/>
      <c r="U192" s="18"/>
      <c r="V192" s="18"/>
      <c r="W192" s="18"/>
      <c r="X192" s="18"/>
      <c r="Y192" s="18"/>
      <c r="Z192" s="18"/>
    </row>
    <row r="193" spans="1:34" s="8" customFormat="1" ht="15" customHeight="1" x14ac:dyDescent="0.25">
      <c r="A193" s="1314"/>
      <c r="B193" s="1363">
        <f t="shared" si="13"/>
        <v>109</v>
      </c>
      <c r="C193" s="1399" t="s">
        <v>809</v>
      </c>
      <c r="D193" s="1533">
        <f t="shared" si="11"/>
        <v>0</v>
      </c>
      <c r="E193" s="1401"/>
      <c r="F193" s="1402"/>
      <c r="G193" s="18"/>
      <c r="H193" s="18"/>
      <c r="I193" s="18"/>
      <c r="J193" s="33" t="e">
        <f t="shared" si="12"/>
        <v>#N/A</v>
      </c>
      <c r="K193" s="34" t="e">
        <f>IF('Система ГВС'!F11=2,0,IF(F193=0,(F213*($D$106-IF(F259&gt;150,$D$107,$D$108))+E213*3)/1000,F193))</f>
        <v>#N/A</v>
      </c>
      <c r="L193" s="18"/>
      <c r="M193" s="18"/>
      <c r="N193" s="18"/>
      <c r="O193" s="18"/>
      <c r="P193" s="18"/>
      <c r="Q193" s="18"/>
      <c r="R193" s="18"/>
      <c r="S193" s="18"/>
      <c r="T193" s="18"/>
      <c r="U193" s="18"/>
      <c r="V193" s="18"/>
      <c r="W193" s="18"/>
      <c r="X193" s="18"/>
      <c r="Y193" s="18"/>
      <c r="Z193" s="18"/>
    </row>
    <row r="194" spans="1:34" s="8" customFormat="1" ht="15" customHeight="1" x14ac:dyDescent="0.25">
      <c r="A194" s="1314"/>
      <c r="B194" s="1363">
        <f t="shared" si="13"/>
        <v>110</v>
      </c>
      <c r="C194" s="1399" t="s">
        <v>482</v>
      </c>
      <c r="D194" s="1533">
        <f t="shared" si="11"/>
        <v>0</v>
      </c>
      <c r="E194" s="1400"/>
      <c r="F194" s="1401"/>
      <c r="G194" s="18"/>
      <c r="H194" s="18"/>
      <c r="I194" s="18"/>
      <c r="J194" s="33" t="e">
        <f t="shared" si="12"/>
        <v>#N/A</v>
      </c>
      <c r="K194" s="34" t="e">
        <f>IF('Система ГВС'!F12=2,0,IF(F194=0,(F214*($D$106-IF(F260&gt;150,$D$107,$D$108))+E214*3)/1000,F194))</f>
        <v>#N/A</v>
      </c>
      <c r="L194" s="18"/>
      <c r="M194" s="18"/>
      <c r="N194" s="18"/>
      <c r="O194" s="18"/>
      <c r="P194" s="18"/>
      <c r="Q194" s="18"/>
      <c r="R194" s="18"/>
      <c r="S194" s="18"/>
      <c r="T194" s="18"/>
      <c r="U194" s="18"/>
      <c r="V194" s="18"/>
      <c r="W194" s="18"/>
      <c r="X194" s="18"/>
      <c r="Y194" s="18"/>
      <c r="Z194" s="18"/>
    </row>
    <row r="195" spans="1:34" s="8" customFormat="1" ht="15" customHeight="1" x14ac:dyDescent="0.25">
      <c r="A195" s="1314"/>
      <c r="B195" s="1363">
        <f t="shared" si="13"/>
        <v>111</v>
      </c>
      <c r="C195" s="1399" t="s">
        <v>486</v>
      </c>
      <c r="D195" s="1533">
        <f t="shared" si="11"/>
        <v>0</v>
      </c>
      <c r="E195" s="1400"/>
      <c r="F195" s="1401"/>
      <c r="G195" s="18"/>
      <c r="H195" s="18"/>
      <c r="I195" s="18"/>
      <c r="J195" s="33" t="e">
        <f t="shared" si="12"/>
        <v>#N/A</v>
      </c>
      <c r="K195" s="34" t="e">
        <f>IF('Система ГВС'!F13=2,0,IF(F195=0,(F215*($D$106-IF(F261&gt;150,$D$107,$D$108))+E215*3)/1000,F195))</f>
        <v>#N/A</v>
      </c>
      <c r="L195" s="18"/>
      <c r="M195" s="18"/>
      <c r="N195" s="18"/>
      <c r="O195" s="18"/>
      <c r="P195" s="18"/>
      <c r="Q195" s="18"/>
      <c r="R195" s="18"/>
      <c r="S195" s="18"/>
      <c r="T195" s="18"/>
      <c r="U195" s="18"/>
      <c r="V195" s="18"/>
      <c r="W195" s="18"/>
      <c r="X195" s="18"/>
      <c r="Y195" s="18"/>
      <c r="Z195" s="18"/>
    </row>
    <row r="196" spans="1:34" s="8" customFormat="1" ht="15" customHeight="1" x14ac:dyDescent="0.25">
      <c r="A196" s="1314"/>
      <c r="B196" s="1363">
        <f t="shared" si="13"/>
        <v>112</v>
      </c>
      <c r="C196" s="1403" t="s">
        <v>487</v>
      </c>
      <c r="D196" s="1534">
        <f t="shared" si="11"/>
        <v>0</v>
      </c>
      <c r="E196" s="1404"/>
      <c r="F196" s="1405"/>
      <c r="G196" s="18"/>
      <c r="H196" s="18"/>
      <c r="I196" s="18"/>
      <c r="J196" s="33" t="e">
        <f t="shared" si="12"/>
        <v>#N/A</v>
      </c>
      <c r="K196" s="34" t="e">
        <f>IF('Система ГВС'!F14=2,0,IF(F196=0,(F216*($D$106-IF(F262&gt;150,$D$107,$D$108))+E216*3)/1000,F196))</f>
        <v>#N/A</v>
      </c>
      <c r="L196" s="18"/>
      <c r="M196" s="18"/>
      <c r="N196" s="18"/>
      <c r="O196" s="18"/>
      <c r="P196" s="18"/>
      <c r="Q196" s="18"/>
      <c r="R196" s="18"/>
      <c r="S196" s="18"/>
      <c r="T196" s="18"/>
      <c r="U196" s="18"/>
      <c r="V196" s="18"/>
      <c r="W196" s="18"/>
      <c r="X196" s="18"/>
      <c r="Y196" s="18"/>
      <c r="Z196" s="18"/>
    </row>
    <row r="197" spans="1:34" s="8" customFormat="1" ht="15" customHeight="1" x14ac:dyDescent="0.25">
      <c r="A197" s="1314"/>
      <c r="B197" s="1313"/>
      <c r="C197" s="1395" t="s">
        <v>1000</v>
      </c>
      <c r="D197" s="1539">
        <f>E197+F197</f>
        <v>0</v>
      </c>
      <c r="E197" s="1539">
        <f>SUM(E185:E196)</f>
        <v>0</v>
      </c>
      <c r="F197" s="1540">
        <f>SUM(F185:F196)</f>
        <v>0</v>
      </c>
      <c r="G197" s="18"/>
      <c r="H197" s="18"/>
      <c r="I197" s="18"/>
      <c r="J197" s="36">
        <f t="shared" ref="J197" si="14">IF(E197="",D197-K197,E197)</f>
        <v>0</v>
      </c>
      <c r="K197" s="37">
        <f>IF('Система ГВС'!F15=2,0,IF(F197=0,(F217*($D$106-'Расчет после реализации'!E173)*(1+'Расчет базового уровня'!D176)+E217*3)/1000,F197))</f>
        <v>0</v>
      </c>
      <c r="L197" s="18"/>
      <c r="M197" s="18"/>
      <c r="N197" s="18"/>
      <c r="O197" s="18"/>
      <c r="P197" s="18"/>
      <c r="Q197" s="18"/>
      <c r="R197" s="18"/>
      <c r="S197" s="18"/>
      <c r="T197" s="18"/>
      <c r="U197" s="18"/>
      <c r="V197" s="18"/>
      <c r="W197" s="18"/>
      <c r="X197" s="18"/>
      <c r="Y197" s="18"/>
      <c r="Z197" s="18"/>
    </row>
    <row r="198" spans="1:34" s="8" customFormat="1" x14ac:dyDescent="0.25">
      <c r="A198" s="1314"/>
      <c r="B198" s="1313"/>
      <c r="C198" s="10"/>
      <c r="D198" s="10"/>
      <c r="E198" s="10"/>
      <c r="F198" s="1301">
        <f>F217*55*1.3</f>
        <v>0</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25">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75" x14ac:dyDescent="0.3">
      <c r="A201" s="1314"/>
      <c r="B201" s="1313"/>
      <c r="C201" s="1613" t="str">
        <f>IF('Система ГВС'!F3=2,"Таблицу ниже можно не заполнять, т.к. в поле 59 выбрана децентрализованная система ГВС.","")</f>
        <v/>
      </c>
      <c r="D201" s="1613"/>
      <c r="E201" s="1613"/>
      <c r="F201" s="1613"/>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25">
      <c r="A202" s="1314"/>
      <c r="B202" s="1313"/>
      <c r="C202" s="1617" t="s">
        <v>1866</v>
      </c>
      <c r="D202" s="1617"/>
      <c r="E202" s="1617"/>
      <c r="F202" s="1617"/>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25">
      <c r="A203" s="1314"/>
      <c r="B203" s="1313"/>
      <c r="C203" s="1588" t="s">
        <v>995</v>
      </c>
      <c r="D203" s="1589" t="s">
        <v>1001</v>
      </c>
      <c r="E203" s="1590"/>
      <c r="F203" s="1591"/>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7.25" x14ac:dyDescent="0.25">
      <c r="A204" s="1314"/>
      <c r="B204" s="1313"/>
      <c r="C204" s="1588"/>
      <c r="D204" s="1388" t="s">
        <v>1862</v>
      </c>
      <c r="E204" s="1413" t="s">
        <v>1863</v>
      </c>
      <c r="F204" s="1394" t="s">
        <v>1864</v>
      </c>
      <c r="G204" s="32" t="e">
        <f>$F$217/365/$D$21*1000</f>
        <v>#DIV/0!</v>
      </c>
      <c r="H204" s="31"/>
      <c r="I204" s="32" t="e">
        <f>SUMPRODUCT('Система ГВС'!$D$5:$D$9,'Система ГВС'!$E$5:$E$9)*(1-0.4*$D$20/$D$19)</f>
        <v>#DIV/0!</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25">
      <c r="A205" s="1314"/>
      <c r="B205" s="1363">
        <f>B196+1</f>
        <v>113</v>
      </c>
      <c r="C205" s="1396" t="s">
        <v>488</v>
      </c>
      <c r="D205" s="1406">
        <f>E205+F205</f>
        <v>0</v>
      </c>
      <c r="E205" s="1406"/>
      <c r="F205" s="1406"/>
      <c r="G205" s="1599"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5" s="1599"/>
      <c r="I205" s="1600"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5" s="1600"/>
      <c r="K205" s="1600"/>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314"/>
      <c r="B206" s="1363">
        <f>B205+1</f>
        <v>114</v>
      </c>
      <c r="C206" s="1399" t="s">
        <v>489</v>
      </c>
      <c r="D206" s="1407">
        <f t="shared" ref="D206:D216" si="15">E206+F206</f>
        <v>0</v>
      </c>
      <c r="E206" s="1407"/>
      <c r="F206" s="1407"/>
      <c r="G206" s="1599"/>
      <c r="H206" s="1599"/>
      <c r="I206" s="1600"/>
      <c r="J206" s="1600"/>
      <c r="K206" s="1600"/>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314"/>
      <c r="B207" s="1363">
        <f t="shared" ref="B207:B216" si="16">B206+1</f>
        <v>115</v>
      </c>
      <c r="C207" s="1399" t="s">
        <v>490</v>
      </c>
      <c r="D207" s="1407">
        <f t="shared" si="15"/>
        <v>0</v>
      </c>
      <c r="E207" s="1407"/>
      <c r="F207" s="1407"/>
      <c r="G207" s="1599"/>
      <c r="H207" s="1599"/>
      <c r="I207" s="1600"/>
      <c r="J207" s="1600"/>
      <c r="K207" s="1600"/>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314"/>
      <c r="B208" s="1363">
        <f t="shared" si="16"/>
        <v>116</v>
      </c>
      <c r="C208" s="1399" t="s">
        <v>491</v>
      </c>
      <c r="D208" s="1407">
        <f t="shared" si="15"/>
        <v>0</v>
      </c>
      <c r="E208" s="1407"/>
      <c r="F208" s="1407"/>
      <c r="G208" s="1599"/>
      <c r="H208" s="1599"/>
      <c r="I208" s="1600"/>
      <c r="J208" s="1600"/>
      <c r="K208" s="1600"/>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314"/>
      <c r="B209" s="1363">
        <f t="shared" si="16"/>
        <v>117</v>
      </c>
      <c r="C209" s="1399" t="s">
        <v>805</v>
      </c>
      <c r="D209" s="1407">
        <f t="shared" si="15"/>
        <v>0</v>
      </c>
      <c r="E209" s="1407"/>
      <c r="F209" s="1407"/>
      <c r="G209" s="1599"/>
      <c r="H209" s="1599"/>
      <c r="I209" s="1600"/>
      <c r="J209" s="1600"/>
      <c r="K209" s="1600"/>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314"/>
      <c r="B210" s="1363">
        <f t="shared" si="16"/>
        <v>118</v>
      </c>
      <c r="C210" s="1399" t="s">
        <v>806</v>
      </c>
      <c r="D210" s="1407">
        <f t="shared" si="15"/>
        <v>0</v>
      </c>
      <c r="E210" s="1407"/>
      <c r="F210" s="1407"/>
      <c r="G210" s="1599"/>
      <c r="H210" s="1599"/>
      <c r="I210" s="1600"/>
      <c r="J210" s="1600"/>
      <c r="K210" s="1600"/>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314"/>
      <c r="B211" s="1363">
        <f t="shared" si="16"/>
        <v>119</v>
      </c>
      <c r="C211" s="1399" t="s">
        <v>807</v>
      </c>
      <c r="D211" s="1407">
        <f t="shared" si="15"/>
        <v>0</v>
      </c>
      <c r="E211" s="1407"/>
      <c r="F211" s="1407"/>
      <c r="G211" s="1599"/>
      <c r="H211" s="1599"/>
      <c r="I211" s="1600"/>
      <c r="J211" s="1600"/>
      <c r="K211" s="1600"/>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314"/>
      <c r="B212" s="1363">
        <f t="shared" si="16"/>
        <v>120</v>
      </c>
      <c r="C212" s="1399" t="s">
        <v>808</v>
      </c>
      <c r="D212" s="1407">
        <f t="shared" si="15"/>
        <v>0</v>
      </c>
      <c r="E212" s="1407"/>
      <c r="F212" s="1407"/>
      <c r="G212" s="1599"/>
      <c r="H212" s="1599"/>
      <c r="I212" s="1600"/>
      <c r="J212" s="1600"/>
      <c r="K212" s="1600"/>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314"/>
      <c r="B213" s="1363">
        <f t="shared" si="16"/>
        <v>121</v>
      </c>
      <c r="C213" s="1399" t="s">
        <v>809</v>
      </c>
      <c r="D213" s="1407">
        <f t="shared" si="15"/>
        <v>0</v>
      </c>
      <c r="E213" s="1407"/>
      <c r="F213" s="1407"/>
      <c r="G213" s="1599"/>
      <c r="H213" s="1599"/>
      <c r="I213" s="1600"/>
      <c r="J213" s="1600"/>
      <c r="K213" s="1600"/>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314"/>
      <c r="B214" s="1363">
        <f t="shared" si="16"/>
        <v>122</v>
      </c>
      <c r="C214" s="1399" t="s">
        <v>482</v>
      </c>
      <c r="D214" s="1407">
        <f t="shared" si="15"/>
        <v>0</v>
      </c>
      <c r="E214" s="1408"/>
      <c r="F214" s="1408"/>
      <c r="G214" s="1599"/>
      <c r="H214" s="1599"/>
      <c r="I214" s="1600"/>
      <c r="J214" s="1600"/>
      <c r="K214" s="1600"/>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314"/>
      <c r="B215" s="1363">
        <f t="shared" si="16"/>
        <v>123</v>
      </c>
      <c r="C215" s="1399" t="s">
        <v>486</v>
      </c>
      <c r="D215" s="1407">
        <f t="shared" si="15"/>
        <v>0</v>
      </c>
      <c r="E215" s="1408"/>
      <c r="F215" s="1408"/>
      <c r="G215" s="1599"/>
      <c r="H215" s="1599"/>
      <c r="I215" s="1600"/>
      <c r="J215" s="1600"/>
      <c r="K215" s="1600"/>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314"/>
      <c r="B216" s="1363">
        <f t="shared" si="16"/>
        <v>124</v>
      </c>
      <c r="C216" s="1403" t="s">
        <v>487</v>
      </c>
      <c r="D216" s="1409">
        <f t="shared" si="15"/>
        <v>0</v>
      </c>
      <c r="E216" s="1410"/>
      <c r="F216" s="1411"/>
      <c r="G216" s="1599"/>
      <c r="H216" s="1599"/>
      <c r="I216" s="1600"/>
      <c r="J216" s="1600"/>
      <c r="K216" s="1600"/>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314"/>
      <c r="B217" s="1313"/>
      <c r="C217" s="1395" t="s">
        <v>1000</v>
      </c>
      <c r="D217" s="1530">
        <f>E217+F217</f>
        <v>0</v>
      </c>
      <c r="E217" s="1530">
        <f>SUM(E205:E216)</f>
        <v>0</v>
      </c>
      <c r="F217" s="1531">
        <f>SUM(F205:F216)</f>
        <v>0</v>
      </c>
      <c r="G217" s="1599"/>
      <c r="H217" s="1599"/>
      <c r="I217" s="1600"/>
      <c r="J217" s="1600"/>
      <c r="K217" s="1600"/>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25">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25">
      <c r="A219" s="1314"/>
      <c r="B219" s="1313"/>
      <c r="C219" s="1617" t="s">
        <v>1865</v>
      </c>
      <c r="D219" s="1617"/>
      <c r="E219" s="1617"/>
      <c r="F219" s="1617"/>
      <c r="G219" s="1617"/>
      <c r="H219" s="1617"/>
      <c r="I219" s="1617"/>
      <c r="J219" s="1617"/>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25">
      <c r="A220" s="1314"/>
      <c r="B220" s="1313"/>
      <c r="C220" s="1592" t="s">
        <v>995</v>
      </c>
      <c r="D220" s="1593" t="s">
        <v>1624</v>
      </c>
      <c r="E220" s="1595" t="s">
        <v>1349</v>
      </c>
      <c r="F220" s="1596" t="s">
        <v>1352</v>
      </c>
      <c r="G220" s="1597"/>
      <c r="H220" s="1597"/>
      <c r="I220" s="1597"/>
      <c r="J220" s="1598"/>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25">
      <c r="A221" s="1314"/>
      <c r="B221" s="1313"/>
      <c r="C221" s="1592"/>
      <c r="D221" s="1594"/>
      <c r="E221" s="1593"/>
      <c r="F221" s="1414" t="s">
        <v>997</v>
      </c>
      <c r="G221" s="1415" t="s">
        <v>1517</v>
      </c>
      <c r="H221" s="1415" t="s">
        <v>1518</v>
      </c>
      <c r="I221" s="1415" t="s">
        <v>1519</v>
      </c>
      <c r="J221" s="1416" t="s">
        <v>1520</v>
      </c>
      <c r="K221" s="10"/>
      <c r="L221" s="10"/>
      <c r="M221" s="18"/>
      <c r="N221" s="18"/>
      <c r="O221" s="18"/>
      <c r="P221" s="1431" t="s">
        <v>997</v>
      </c>
      <c r="Q221" s="1431" t="s">
        <v>1003</v>
      </c>
      <c r="R221" s="1431" t="s">
        <v>1425</v>
      </c>
      <c r="S221" s="1431" t="s">
        <v>1424</v>
      </c>
      <c r="T221" s="1431" t="s">
        <v>998</v>
      </c>
      <c r="U221" s="1431" t="s">
        <v>541</v>
      </c>
      <c r="V221" s="1431" t="s">
        <v>1359</v>
      </c>
      <c r="W221" s="1432" t="s">
        <v>1426</v>
      </c>
      <c r="X221" s="35"/>
      <c r="Y221" s="1431" t="s">
        <v>997</v>
      </c>
      <c r="Z221" s="1431" t="s">
        <v>1003</v>
      </c>
      <c r="AA221" s="1431" t="s">
        <v>1425</v>
      </c>
      <c r="AB221" s="1431" t="s">
        <v>1424</v>
      </c>
      <c r="AC221" s="1431" t="s">
        <v>998</v>
      </c>
      <c r="AD221" s="1431" t="s">
        <v>541</v>
      </c>
      <c r="AE221" s="1431" t="s">
        <v>1359</v>
      </c>
      <c r="AF221" s="1432" t="s">
        <v>1426</v>
      </c>
      <c r="AG221" s="18"/>
      <c r="AH221" s="18"/>
    </row>
    <row r="222" spans="1:34" s="8" customFormat="1" x14ac:dyDescent="0.25">
      <c r="A222" s="1314"/>
      <c r="B222" s="1363">
        <f>B216+1</f>
        <v>125</v>
      </c>
      <c r="C222" s="1399" t="s">
        <v>488</v>
      </c>
      <c r="D222" s="1417"/>
      <c r="E222" s="1417"/>
      <c r="F222" s="1418"/>
      <c r="G222" s="1419"/>
      <c r="H222" s="1419"/>
      <c r="I222" s="1419"/>
      <c r="J222" s="1420"/>
      <c r="K222" s="1609" t="s">
        <v>1625</v>
      </c>
      <c r="L222" s="1609"/>
      <c r="M222" s="18"/>
      <c r="N222" s="18"/>
      <c r="O222" s="18"/>
      <c r="P222" s="1433" t="e">
        <f>SUM(Q222:S222,W222)</f>
        <v>#N/A</v>
      </c>
      <c r="Q222" s="1434">
        <f>($G$130*$H$130*$D$130+$H$131*$G$131*$D$131+$H$132*$G$132*$D$132+$H$133*$G$133*$D$133+$H$134*$G$134*$D$134)/12/1000000</f>
        <v>0</v>
      </c>
      <c r="R222" s="1434">
        <f>$D$139*$D$140/1000/12</f>
        <v>0</v>
      </c>
      <c r="S222" s="1435" t="e">
        <f>SUM(T222:V222)</f>
        <v>#N/A</v>
      </c>
      <c r="T222" s="1435" t="e">
        <f>$D$145*'Расчет базового уровня'!$G$146*24/1000</f>
        <v>#N/A</v>
      </c>
      <c r="U222" s="1435">
        <f>$D$149*'Расчет базового уровня'!$G$170*24/1000</f>
        <v>0</v>
      </c>
      <c r="V222" s="1435">
        <f>$D$153*'Расчет базового уровня'!$G$165*24/1000</f>
        <v>0</v>
      </c>
      <c r="W222" s="38">
        <f>$D$158*$D$159/12/1000</f>
        <v>0</v>
      </c>
      <c r="X222" s="39"/>
      <c r="Y222" s="1433">
        <f>SUM(Z222:AB222,AF222)</f>
        <v>0</v>
      </c>
      <c r="Z222" s="1434">
        <f>IF(G222=0,IFERROR($F222*Q222/$P222,0),G222)</f>
        <v>0</v>
      </c>
      <c r="AA222" s="1434">
        <f>IF(H222=0,IFERROR($F222*R222/$P222,0),H222)</f>
        <v>0</v>
      </c>
      <c r="AB222" s="1434">
        <f>IF(I222=0,IFERROR($F222*S222/$P222,0),I222)</f>
        <v>0</v>
      </c>
      <c r="AC222" s="1435">
        <f>IFERROR(IF($I222=0,$F222*T222/$P222,$AB222*T222/$S222),0)</f>
        <v>0</v>
      </c>
      <c r="AD222" s="1435">
        <f>IFERROR(IF($I222=0,$F222*U222/$P222,$AB222*U222/$S222),0)</f>
        <v>0</v>
      </c>
      <c r="AE222" s="1435">
        <f>IFERROR(IF($I222=0,$F222*V222/$P222,$AB222*V222/$S222),0)</f>
        <v>0</v>
      </c>
      <c r="AF222" s="1434">
        <f>IFERROR(IF(J222=0,$F222*W222/$P222,P222),0)</f>
        <v>0</v>
      </c>
      <c r="AG222" s="18"/>
      <c r="AH222" s="18"/>
    </row>
    <row r="223" spans="1:34" s="8" customFormat="1" x14ac:dyDescent="0.25">
      <c r="A223" s="1314"/>
      <c r="B223" s="1363">
        <f>B222+1</f>
        <v>126</v>
      </c>
      <c r="C223" s="1399" t="s">
        <v>489</v>
      </c>
      <c r="D223" s="1421"/>
      <c r="E223" s="1421"/>
      <c r="F223" s="1422"/>
      <c r="G223" s="1423"/>
      <c r="H223" s="1423"/>
      <c r="I223" s="1423"/>
      <c r="J223" s="1424"/>
      <c r="K223" s="1609"/>
      <c r="L223" s="1609"/>
      <c r="M223" s="18"/>
      <c r="N223" s="18"/>
      <c r="O223" s="18"/>
      <c r="P223" s="1433" t="e">
        <f t="shared" ref="P223:P233" si="17">SUM(Q223:S223,W223)</f>
        <v>#N/A</v>
      </c>
      <c r="Q223" s="1434">
        <f t="shared" ref="Q223:Q233" si="18">($G$130*$H$130*$D$130+$H$131*$G$131*$D$131+$H$132*$G$132*$D$132+$H$133*$G$133*$D$133+$H$134*$G$134*$D$134)/12/1000000</f>
        <v>0</v>
      </c>
      <c r="R223" s="1434">
        <f>R222</f>
        <v>0</v>
      </c>
      <c r="S223" s="1435" t="e">
        <f t="shared" ref="S223:S233" si="19">SUM(T223:V223)</f>
        <v>#N/A</v>
      </c>
      <c r="T223" s="1435" t="e">
        <f>$D$145*'Расчет базового уровня'!$H$146*24/1000</f>
        <v>#N/A</v>
      </c>
      <c r="U223" s="1435">
        <f>$D$149*'Расчет базового уровня'!$H$170*24/1000</f>
        <v>0</v>
      </c>
      <c r="V223" s="1435">
        <f>$D$153*'Расчет базового уровня'!$H$165*24/1000</f>
        <v>0</v>
      </c>
      <c r="W223" s="38">
        <f t="shared" ref="W223:W233" si="20">$D$158*$D$159/12/1000</f>
        <v>0</v>
      </c>
      <c r="X223" s="39"/>
      <c r="Y223" s="1433">
        <f t="shared" ref="Y223:Y234" si="21">SUM(Z223:AB223,AF223)</f>
        <v>0</v>
      </c>
      <c r="Z223" s="1434">
        <f t="shared" ref="Z223:Z234" si="22">IF(G223=0,IFERROR($F223*Q223/$P223,0),G223)</f>
        <v>0</v>
      </c>
      <c r="AA223" s="1434">
        <f t="shared" ref="AA223:AA234" si="23">IF(H223=0,IFERROR($F223*R223/$P223,0),H223)</f>
        <v>0</v>
      </c>
      <c r="AB223" s="1434">
        <f t="shared" ref="AB223:AB234" si="24">IF(I223=0,IFERROR($F223*S223/$P223,0),I223)</f>
        <v>0</v>
      </c>
      <c r="AC223" s="1435">
        <f t="shared" ref="AC223:AC234" si="25">IFERROR(IF($I223=0,$F223*T223/$P223,$AB223*T223/$S223),0)</f>
        <v>0</v>
      </c>
      <c r="AD223" s="1435">
        <f t="shared" ref="AD223:AD234" si="26">IFERROR(IF($I223=0,$F223*U223/$P223,$AB223*U223/$S223),0)</f>
        <v>0</v>
      </c>
      <c r="AE223" s="1435">
        <f t="shared" ref="AE223:AE234" si="27">IFERROR(IF($I223=0,$F223*V223/$P223,$AB223*V223/$S223),0)</f>
        <v>0</v>
      </c>
      <c r="AF223" s="1434">
        <f t="shared" ref="AF223:AF234" si="28">IFERROR(IF(J223=0,$F223*W223/$P223,P223),0)</f>
        <v>0</v>
      </c>
      <c r="AG223" s="18"/>
      <c r="AH223" s="18"/>
    </row>
    <row r="224" spans="1:34" s="8" customFormat="1" x14ac:dyDescent="0.25">
      <c r="A224" s="1314"/>
      <c r="B224" s="1363">
        <f t="shared" ref="B224:B233" si="29">B223+1</f>
        <v>127</v>
      </c>
      <c r="C224" s="1399" t="s">
        <v>490</v>
      </c>
      <c r="D224" s="1421"/>
      <c r="E224" s="1421"/>
      <c r="F224" s="1422"/>
      <c r="G224" s="1423"/>
      <c r="H224" s="1423"/>
      <c r="I224" s="1423"/>
      <c r="J224" s="1424"/>
      <c r="K224" s="1609"/>
      <c r="L224" s="1609"/>
      <c r="M224" s="18"/>
      <c r="N224" s="18"/>
      <c r="O224" s="18"/>
      <c r="P224" s="1433" t="e">
        <f t="shared" si="17"/>
        <v>#N/A</v>
      </c>
      <c r="Q224" s="1434">
        <f t="shared" si="18"/>
        <v>0</v>
      </c>
      <c r="R224" s="1434">
        <f t="shared" ref="R224:R233" si="30">R223</f>
        <v>0</v>
      </c>
      <c r="S224" s="1435" t="e">
        <f t="shared" si="19"/>
        <v>#N/A</v>
      </c>
      <c r="T224" s="1435" t="e">
        <f>$D$145*'Расчет базового уровня'!$I$146*24/1000</f>
        <v>#N/A</v>
      </c>
      <c r="U224" s="1435">
        <f>$D$149*'Расчет базового уровня'!$I$170*24/1000</f>
        <v>0</v>
      </c>
      <c r="V224" s="1435">
        <f>$D$153*'Расчет базового уровня'!$I$165*24/1000</f>
        <v>0</v>
      </c>
      <c r="W224" s="38">
        <f t="shared" si="20"/>
        <v>0</v>
      </c>
      <c r="X224" s="39"/>
      <c r="Y224" s="1433">
        <f t="shared" si="21"/>
        <v>0</v>
      </c>
      <c r="Z224" s="1434">
        <f t="shared" si="22"/>
        <v>0</v>
      </c>
      <c r="AA224" s="1434">
        <f t="shared" si="23"/>
        <v>0</v>
      </c>
      <c r="AB224" s="1434">
        <f t="shared" si="24"/>
        <v>0</v>
      </c>
      <c r="AC224" s="1435">
        <f t="shared" si="25"/>
        <v>0</v>
      </c>
      <c r="AD224" s="1435">
        <f t="shared" si="26"/>
        <v>0</v>
      </c>
      <c r="AE224" s="1435">
        <f t="shared" si="27"/>
        <v>0</v>
      </c>
      <c r="AF224" s="1434">
        <f t="shared" si="28"/>
        <v>0</v>
      </c>
      <c r="AG224" s="18"/>
      <c r="AH224" s="18"/>
    </row>
    <row r="225" spans="1:34" s="8" customFormat="1" x14ac:dyDescent="0.25">
      <c r="A225" s="1314"/>
      <c r="B225" s="1363">
        <f t="shared" si="29"/>
        <v>128</v>
      </c>
      <c r="C225" s="1399" t="s">
        <v>491</v>
      </c>
      <c r="D225" s="1421"/>
      <c r="E225" s="1421"/>
      <c r="F225" s="1422"/>
      <c r="G225" s="1423"/>
      <c r="H225" s="1423"/>
      <c r="I225" s="1423"/>
      <c r="J225" s="1424"/>
      <c r="K225" s="1609"/>
      <c r="L225" s="1609"/>
      <c r="M225" s="18"/>
      <c r="N225" s="18"/>
      <c r="O225" s="18"/>
      <c r="P225" s="1433" t="e">
        <f t="shared" si="17"/>
        <v>#N/A</v>
      </c>
      <c r="Q225" s="1434">
        <f t="shared" si="18"/>
        <v>0</v>
      </c>
      <c r="R225" s="1434">
        <f t="shared" si="30"/>
        <v>0</v>
      </c>
      <c r="S225" s="1435" t="e">
        <f t="shared" si="19"/>
        <v>#N/A</v>
      </c>
      <c r="T225" s="1435" t="e">
        <f>$D$145*'Расчет базового уровня'!$J$146*24/1000</f>
        <v>#N/A</v>
      </c>
      <c r="U225" s="1435">
        <f>$D$149*'Расчет базового уровня'!$J$170*24/1000</f>
        <v>0</v>
      </c>
      <c r="V225" s="1435">
        <f>$D$153*'Расчет базового уровня'!$J$165*24/1000</f>
        <v>0</v>
      </c>
      <c r="W225" s="38">
        <f t="shared" si="20"/>
        <v>0</v>
      </c>
      <c r="X225" s="39"/>
      <c r="Y225" s="1433">
        <f t="shared" si="21"/>
        <v>0</v>
      </c>
      <c r="Z225" s="1434">
        <f t="shared" si="22"/>
        <v>0</v>
      </c>
      <c r="AA225" s="1434">
        <f t="shared" si="23"/>
        <v>0</v>
      </c>
      <c r="AB225" s="1434">
        <f t="shared" si="24"/>
        <v>0</v>
      </c>
      <c r="AC225" s="1435">
        <f t="shared" si="25"/>
        <v>0</v>
      </c>
      <c r="AD225" s="1435">
        <f t="shared" si="26"/>
        <v>0</v>
      </c>
      <c r="AE225" s="1435">
        <f t="shared" si="27"/>
        <v>0</v>
      </c>
      <c r="AF225" s="1434">
        <f t="shared" si="28"/>
        <v>0</v>
      </c>
      <c r="AG225" s="18"/>
      <c r="AH225" s="18"/>
    </row>
    <row r="226" spans="1:34" s="8" customFormat="1" x14ac:dyDescent="0.25">
      <c r="A226" s="1314"/>
      <c r="B226" s="1363">
        <f t="shared" si="29"/>
        <v>129</v>
      </c>
      <c r="C226" s="1399" t="s">
        <v>805</v>
      </c>
      <c r="D226" s="1421"/>
      <c r="E226" s="1421"/>
      <c r="F226" s="1422"/>
      <c r="G226" s="1423"/>
      <c r="H226" s="1423"/>
      <c r="I226" s="1423"/>
      <c r="J226" s="1424"/>
      <c r="K226" s="1609"/>
      <c r="L226" s="1609"/>
      <c r="M226" s="18"/>
      <c r="N226" s="18"/>
      <c r="O226" s="18"/>
      <c r="P226" s="1433" t="e">
        <f t="shared" si="17"/>
        <v>#N/A</v>
      </c>
      <c r="Q226" s="1434">
        <f t="shared" si="18"/>
        <v>0</v>
      </c>
      <c r="R226" s="1434">
        <f t="shared" si="30"/>
        <v>0</v>
      </c>
      <c r="S226" s="1435" t="e">
        <f t="shared" si="19"/>
        <v>#N/A</v>
      </c>
      <c r="T226" s="1435" t="e">
        <f>$D$145*'Расчет базового уровня'!$K$146*24/1000</f>
        <v>#N/A</v>
      </c>
      <c r="U226" s="1435">
        <f>$D$149*'Расчет базового уровня'!$K$170*24/1000</f>
        <v>0</v>
      </c>
      <c r="V226" s="1435">
        <f>$D$153*'Расчет базового уровня'!$K$165*24/1000</f>
        <v>0</v>
      </c>
      <c r="W226" s="38">
        <f t="shared" si="20"/>
        <v>0</v>
      </c>
      <c r="X226" s="39"/>
      <c r="Y226" s="1433">
        <f t="shared" si="21"/>
        <v>0</v>
      </c>
      <c r="Z226" s="1434">
        <f t="shared" si="22"/>
        <v>0</v>
      </c>
      <c r="AA226" s="1434">
        <f t="shared" si="23"/>
        <v>0</v>
      </c>
      <c r="AB226" s="1434">
        <f t="shared" si="24"/>
        <v>0</v>
      </c>
      <c r="AC226" s="1435">
        <f t="shared" si="25"/>
        <v>0</v>
      </c>
      <c r="AD226" s="1435">
        <f t="shared" si="26"/>
        <v>0</v>
      </c>
      <c r="AE226" s="1435">
        <f t="shared" si="27"/>
        <v>0</v>
      </c>
      <c r="AF226" s="1434">
        <f t="shared" si="28"/>
        <v>0</v>
      </c>
      <c r="AG226" s="18"/>
      <c r="AH226" s="18"/>
    </row>
    <row r="227" spans="1:34" s="8" customFormat="1" x14ac:dyDescent="0.25">
      <c r="A227" s="1314"/>
      <c r="B227" s="1363">
        <f t="shared" si="29"/>
        <v>130</v>
      </c>
      <c r="C227" s="1399" t="s">
        <v>806</v>
      </c>
      <c r="D227" s="1421"/>
      <c r="E227" s="1421"/>
      <c r="F227" s="1422"/>
      <c r="G227" s="1423"/>
      <c r="H227" s="1423"/>
      <c r="I227" s="1423"/>
      <c r="J227" s="1424"/>
      <c r="K227" s="1609"/>
      <c r="L227" s="1609"/>
      <c r="M227" s="18"/>
      <c r="N227" s="18"/>
      <c r="O227" s="18"/>
      <c r="P227" s="1433" t="e">
        <f t="shared" si="17"/>
        <v>#N/A</v>
      </c>
      <c r="Q227" s="1434">
        <f t="shared" si="18"/>
        <v>0</v>
      </c>
      <c r="R227" s="1434">
        <f t="shared" si="30"/>
        <v>0</v>
      </c>
      <c r="S227" s="1435" t="e">
        <f t="shared" si="19"/>
        <v>#N/A</v>
      </c>
      <c r="T227" s="1435" t="e">
        <f>$D$145*'Расчет базового уровня'!$L$146*24/1000</f>
        <v>#N/A</v>
      </c>
      <c r="U227" s="1435">
        <f>$D$149*'Расчет базового уровня'!$L$170*24/1000</f>
        <v>0</v>
      </c>
      <c r="V227" s="1435">
        <f>$D$153*'Расчет базового уровня'!$L$165*24/1000</f>
        <v>0</v>
      </c>
      <c r="W227" s="38">
        <f t="shared" si="20"/>
        <v>0</v>
      </c>
      <c r="X227" s="39"/>
      <c r="Y227" s="1433">
        <f t="shared" si="21"/>
        <v>0</v>
      </c>
      <c r="Z227" s="1434">
        <f t="shared" si="22"/>
        <v>0</v>
      </c>
      <c r="AA227" s="1434">
        <f t="shared" si="23"/>
        <v>0</v>
      </c>
      <c r="AB227" s="1434">
        <f t="shared" si="24"/>
        <v>0</v>
      </c>
      <c r="AC227" s="1435">
        <f t="shared" si="25"/>
        <v>0</v>
      </c>
      <c r="AD227" s="1435">
        <f t="shared" si="26"/>
        <v>0</v>
      </c>
      <c r="AE227" s="1435">
        <f t="shared" si="27"/>
        <v>0</v>
      </c>
      <c r="AF227" s="1434">
        <f t="shared" si="28"/>
        <v>0</v>
      </c>
      <c r="AG227" s="18"/>
      <c r="AH227" s="18"/>
    </row>
    <row r="228" spans="1:34" s="8" customFormat="1" x14ac:dyDescent="0.25">
      <c r="A228" s="1314"/>
      <c r="B228" s="1363">
        <f t="shared" si="29"/>
        <v>131</v>
      </c>
      <c r="C228" s="1399" t="s">
        <v>807</v>
      </c>
      <c r="D228" s="1421"/>
      <c r="E228" s="1421"/>
      <c r="F228" s="1422"/>
      <c r="G228" s="1423"/>
      <c r="H228" s="1423"/>
      <c r="I228" s="1423"/>
      <c r="J228" s="1424"/>
      <c r="K228" s="1609"/>
      <c r="L228" s="1609"/>
      <c r="M228" s="18"/>
      <c r="N228" s="18"/>
      <c r="O228" s="18"/>
      <c r="P228" s="1433" t="e">
        <f t="shared" si="17"/>
        <v>#N/A</v>
      </c>
      <c r="Q228" s="1434">
        <f t="shared" si="18"/>
        <v>0</v>
      </c>
      <c r="R228" s="1434">
        <f t="shared" si="30"/>
        <v>0</v>
      </c>
      <c r="S228" s="1435" t="e">
        <f t="shared" si="19"/>
        <v>#N/A</v>
      </c>
      <c r="T228" s="1435" t="e">
        <f>$D$145*'Расчет базового уровня'!$M$146*24/1000</f>
        <v>#N/A</v>
      </c>
      <c r="U228" s="1435">
        <f>$D$149*'Расчет базового уровня'!$M$170*24/1000</f>
        <v>0</v>
      </c>
      <c r="V228" s="1435">
        <f>$D$153*'Расчет базового уровня'!$M$165*24/1000</f>
        <v>0</v>
      </c>
      <c r="W228" s="38">
        <f t="shared" si="20"/>
        <v>0</v>
      </c>
      <c r="X228" s="39"/>
      <c r="Y228" s="1433">
        <f t="shared" si="21"/>
        <v>0</v>
      </c>
      <c r="Z228" s="1434">
        <f t="shared" si="22"/>
        <v>0</v>
      </c>
      <c r="AA228" s="1434">
        <f t="shared" si="23"/>
        <v>0</v>
      </c>
      <c r="AB228" s="1434">
        <f t="shared" si="24"/>
        <v>0</v>
      </c>
      <c r="AC228" s="1435">
        <f t="shared" si="25"/>
        <v>0</v>
      </c>
      <c r="AD228" s="1435">
        <f t="shared" si="26"/>
        <v>0</v>
      </c>
      <c r="AE228" s="1435">
        <f t="shared" si="27"/>
        <v>0</v>
      </c>
      <c r="AF228" s="1434">
        <f t="shared" si="28"/>
        <v>0</v>
      </c>
      <c r="AG228" s="18"/>
      <c r="AH228" s="18"/>
    </row>
    <row r="229" spans="1:34" s="8" customFormat="1" x14ac:dyDescent="0.25">
      <c r="A229" s="1314"/>
      <c r="B229" s="1363">
        <f t="shared" si="29"/>
        <v>132</v>
      </c>
      <c r="C229" s="1399" t="s">
        <v>808</v>
      </c>
      <c r="D229" s="1421"/>
      <c r="E229" s="1421"/>
      <c r="F229" s="1422"/>
      <c r="G229" s="1423"/>
      <c r="H229" s="1423"/>
      <c r="I229" s="1423"/>
      <c r="J229" s="1424"/>
      <c r="K229" s="1609"/>
      <c r="L229" s="1609"/>
      <c r="M229" s="18"/>
      <c r="N229" s="18"/>
      <c r="O229" s="18"/>
      <c r="P229" s="1433" t="e">
        <f t="shared" si="17"/>
        <v>#N/A</v>
      </c>
      <c r="Q229" s="1434">
        <f t="shared" si="18"/>
        <v>0</v>
      </c>
      <c r="R229" s="1434">
        <f t="shared" si="30"/>
        <v>0</v>
      </c>
      <c r="S229" s="1435" t="e">
        <f t="shared" si="19"/>
        <v>#N/A</v>
      </c>
      <c r="T229" s="1435" t="e">
        <f>$D$145*'Расчет базового уровня'!$N$146*24/1000</f>
        <v>#N/A</v>
      </c>
      <c r="U229" s="1435">
        <f>$D$149*'Расчет базового уровня'!$N$170*24/1000</f>
        <v>0</v>
      </c>
      <c r="V229" s="1435">
        <f>$D$153*'Расчет базового уровня'!$N$165*24/1000</f>
        <v>0</v>
      </c>
      <c r="W229" s="38">
        <f t="shared" si="20"/>
        <v>0</v>
      </c>
      <c r="X229" s="39"/>
      <c r="Y229" s="1433">
        <f t="shared" si="21"/>
        <v>0</v>
      </c>
      <c r="Z229" s="1434">
        <f t="shared" si="22"/>
        <v>0</v>
      </c>
      <c r="AA229" s="1434">
        <f t="shared" si="23"/>
        <v>0</v>
      </c>
      <c r="AB229" s="1434">
        <f t="shared" si="24"/>
        <v>0</v>
      </c>
      <c r="AC229" s="1435">
        <f t="shared" si="25"/>
        <v>0</v>
      </c>
      <c r="AD229" s="1435">
        <f t="shared" si="26"/>
        <v>0</v>
      </c>
      <c r="AE229" s="1435">
        <f t="shared" si="27"/>
        <v>0</v>
      </c>
      <c r="AF229" s="1434">
        <f t="shared" si="28"/>
        <v>0</v>
      </c>
      <c r="AG229" s="18"/>
      <c r="AH229" s="18"/>
    </row>
    <row r="230" spans="1:34" s="8" customFormat="1" x14ac:dyDescent="0.25">
      <c r="A230" s="1314"/>
      <c r="B230" s="1363">
        <f t="shared" si="29"/>
        <v>133</v>
      </c>
      <c r="C230" s="1399" t="s">
        <v>809</v>
      </c>
      <c r="D230" s="1421"/>
      <c r="E230" s="1421"/>
      <c r="F230" s="1422"/>
      <c r="G230" s="1423"/>
      <c r="H230" s="1423"/>
      <c r="I230" s="1423"/>
      <c r="J230" s="1424"/>
      <c r="K230" s="1609"/>
      <c r="L230" s="1609"/>
      <c r="M230" s="18"/>
      <c r="N230" s="18"/>
      <c r="O230" s="18"/>
      <c r="P230" s="1433" t="e">
        <f t="shared" si="17"/>
        <v>#N/A</v>
      </c>
      <c r="Q230" s="1434">
        <f t="shared" si="18"/>
        <v>0</v>
      </c>
      <c r="R230" s="1434">
        <f t="shared" si="30"/>
        <v>0</v>
      </c>
      <c r="S230" s="1435" t="e">
        <f t="shared" si="19"/>
        <v>#N/A</v>
      </c>
      <c r="T230" s="1435" t="e">
        <f>$D$145*'Расчет базового уровня'!$O$146*24/1000</f>
        <v>#N/A</v>
      </c>
      <c r="U230" s="1435">
        <f>$D$149*'Расчет базового уровня'!$O$170*24/1000</f>
        <v>0</v>
      </c>
      <c r="V230" s="1435">
        <f>$D$153*'Расчет базового уровня'!$O$165*24/1000</f>
        <v>0</v>
      </c>
      <c r="W230" s="38">
        <f t="shared" si="20"/>
        <v>0</v>
      </c>
      <c r="X230" s="39"/>
      <c r="Y230" s="1433">
        <f t="shared" si="21"/>
        <v>0</v>
      </c>
      <c r="Z230" s="1434">
        <f t="shared" si="22"/>
        <v>0</v>
      </c>
      <c r="AA230" s="1434">
        <f t="shared" si="23"/>
        <v>0</v>
      </c>
      <c r="AB230" s="1434">
        <f t="shared" si="24"/>
        <v>0</v>
      </c>
      <c r="AC230" s="1435">
        <f t="shared" si="25"/>
        <v>0</v>
      </c>
      <c r="AD230" s="1435">
        <f t="shared" si="26"/>
        <v>0</v>
      </c>
      <c r="AE230" s="1435">
        <f t="shared" si="27"/>
        <v>0</v>
      </c>
      <c r="AF230" s="1434">
        <f t="shared" si="28"/>
        <v>0</v>
      </c>
      <c r="AG230" s="18"/>
      <c r="AH230" s="18"/>
    </row>
    <row r="231" spans="1:34" s="8" customFormat="1" x14ac:dyDescent="0.25">
      <c r="A231" s="1314"/>
      <c r="B231" s="1363">
        <f t="shared" si="29"/>
        <v>134</v>
      </c>
      <c r="C231" s="1399" t="s">
        <v>482</v>
      </c>
      <c r="D231" s="1421"/>
      <c r="E231" s="1421"/>
      <c r="F231" s="1422"/>
      <c r="G231" s="1423"/>
      <c r="H231" s="1423"/>
      <c r="I231" s="1423"/>
      <c r="J231" s="1424"/>
      <c r="K231" s="1609"/>
      <c r="L231" s="1609"/>
      <c r="M231" s="18"/>
      <c r="N231" s="18"/>
      <c r="O231" s="18"/>
      <c r="P231" s="1433" t="e">
        <f t="shared" si="17"/>
        <v>#N/A</v>
      </c>
      <c r="Q231" s="1434">
        <f t="shared" si="18"/>
        <v>0</v>
      </c>
      <c r="R231" s="1434">
        <f t="shared" si="30"/>
        <v>0</v>
      </c>
      <c r="S231" s="1435" t="e">
        <f t="shared" si="19"/>
        <v>#N/A</v>
      </c>
      <c r="T231" s="1435" t="e">
        <f>$D$145*'Расчет базового уровня'!$P$146*24/1000</f>
        <v>#N/A</v>
      </c>
      <c r="U231" s="1435">
        <f>$D$149*'Расчет базового уровня'!$P$170*24/1000</f>
        <v>0</v>
      </c>
      <c r="V231" s="1435">
        <f>$D$153*'Расчет базового уровня'!$P$165*24/1000</f>
        <v>0</v>
      </c>
      <c r="W231" s="38">
        <f t="shared" si="20"/>
        <v>0</v>
      </c>
      <c r="X231" s="39"/>
      <c r="Y231" s="1433">
        <f t="shared" si="21"/>
        <v>0</v>
      </c>
      <c r="Z231" s="1434">
        <f t="shared" si="22"/>
        <v>0</v>
      </c>
      <c r="AA231" s="1434">
        <f t="shared" si="23"/>
        <v>0</v>
      </c>
      <c r="AB231" s="1434">
        <f t="shared" si="24"/>
        <v>0</v>
      </c>
      <c r="AC231" s="1435">
        <f t="shared" si="25"/>
        <v>0</v>
      </c>
      <c r="AD231" s="1435">
        <f t="shared" si="26"/>
        <v>0</v>
      </c>
      <c r="AE231" s="1435">
        <f t="shared" si="27"/>
        <v>0</v>
      </c>
      <c r="AF231" s="1434">
        <f t="shared" si="28"/>
        <v>0</v>
      </c>
      <c r="AG231" s="18"/>
      <c r="AH231" s="18"/>
    </row>
    <row r="232" spans="1:34" s="8" customFormat="1" x14ac:dyDescent="0.25">
      <c r="A232" s="1314"/>
      <c r="B232" s="1363">
        <f t="shared" si="29"/>
        <v>135</v>
      </c>
      <c r="C232" s="1399" t="s">
        <v>486</v>
      </c>
      <c r="D232" s="1421"/>
      <c r="E232" s="1421"/>
      <c r="F232" s="1422"/>
      <c r="G232" s="1423"/>
      <c r="H232" s="1423"/>
      <c r="I232" s="1423"/>
      <c r="J232" s="1424"/>
      <c r="K232" s="1609"/>
      <c r="L232" s="1609"/>
      <c r="M232" s="18"/>
      <c r="N232" s="18"/>
      <c r="O232" s="18"/>
      <c r="P232" s="1433" t="e">
        <f t="shared" si="17"/>
        <v>#N/A</v>
      </c>
      <c r="Q232" s="1434">
        <f t="shared" si="18"/>
        <v>0</v>
      </c>
      <c r="R232" s="1434">
        <f t="shared" si="30"/>
        <v>0</v>
      </c>
      <c r="S232" s="1435" t="e">
        <f t="shared" si="19"/>
        <v>#N/A</v>
      </c>
      <c r="T232" s="1435" t="e">
        <f>$D$145*'Расчет базового уровня'!$Q$146*24/1000</f>
        <v>#N/A</v>
      </c>
      <c r="U232" s="1435">
        <f>$D$149*'Расчет базового уровня'!$Q$170*24/1000</f>
        <v>0</v>
      </c>
      <c r="V232" s="1435">
        <f>$D$153*'Расчет базового уровня'!$Q$165*24/1000</f>
        <v>0</v>
      </c>
      <c r="W232" s="38">
        <f t="shared" si="20"/>
        <v>0</v>
      </c>
      <c r="X232" s="39"/>
      <c r="Y232" s="1433">
        <f t="shared" si="21"/>
        <v>0</v>
      </c>
      <c r="Z232" s="1434">
        <f t="shared" si="22"/>
        <v>0</v>
      </c>
      <c r="AA232" s="1434">
        <f t="shared" si="23"/>
        <v>0</v>
      </c>
      <c r="AB232" s="1434">
        <f t="shared" si="24"/>
        <v>0</v>
      </c>
      <c r="AC232" s="1435">
        <f t="shared" si="25"/>
        <v>0</v>
      </c>
      <c r="AD232" s="1435">
        <f t="shared" si="26"/>
        <v>0</v>
      </c>
      <c r="AE232" s="1435">
        <f t="shared" si="27"/>
        <v>0</v>
      </c>
      <c r="AF232" s="1434">
        <f t="shared" si="28"/>
        <v>0</v>
      </c>
      <c r="AG232" s="18"/>
      <c r="AH232" s="18"/>
    </row>
    <row r="233" spans="1:34" s="8" customFormat="1" x14ac:dyDescent="0.25">
      <c r="A233" s="1314"/>
      <c r="B233" s="1363">
        <f t="shared" si="29"/>
        <v>136</v>
      </c>
      <c r="C233" s="1412" t="s">
        <v>487</v>
      </c>
      <c r="D233" s="1425"/>
      <c r="E233" s="1425"/>
      <c r="F233" s="1426"/>
      <c r="G233" s="1427"/>
      <c r="H233" s="1427"/>
      <c r="I233" s="1427"/>
      <c r="J233" s="1428"/>
      <c r="K233" s="1609"/>
      <c r="L233" s="1609"/>
      <c r="M233" s="18"/>
      <c r="N233" s="18"/>
      <c r="O233" s="18"/>
      <c r="P233" s="1433" t="e">
        <f t="shared" si="17"/>
        <v>#N/A</v>
      </c>
      <c r="Q233" s="1434">
        <f t="shared" si="18"/>
        <v>0</v>
      </c>
      <c r="R233" s="1434">
        <f t="shared" si="30"/>
        <v>0</v>
      </c>
      <c r="S233" s="1435" t="e">
        <f t="shared" si="19"/>
        <v>#N/A</v>
      </c>
      <c r="T233" s="1435" t="e">
        <f>$D$145*'Расчет базового уровня'!$R$146*24/1000</f>
        <v>#N/A</v>
      </c>
      <c r="U233" s="1435">
        <f>$D$149*'Расчет базового уровня'!$R$170*24/1000</f>
        <v>0</v>
      </c>
      <c r="V233" s="1435">
        <f>$D$153*'Расчет базового уровня'!$R$165*24/1000</f>
        <v>0</v>
      </c>
      <c r="W233" s="38">
        <f t="shared" si="20"/>
        <v>0</v>
      </c>
      <c r="X233" s="39"/>
      <c r="Y233" s="1433">
        <f t="shared" si="21"/>
        <v>0</v>
      </c>
      <c r="Z233" s="1434">
        <f t="shared" si="22"/>
        <v>0</v>
      </c>
      <c r="AA233" s="1434">
        <f t="shared" si="23"/>
        <v>0</v>
      </c>
      <c r="AB233" s="1434">
        <f t="shared" si="24"/>
        <v>0</v>
      </c>
      <c r="AC233" s="1435">
        <f t="shared" si="25"/>
        <v>0</v>
      </c>
      <c r="AD233" s="1435">
        <f t="shared" si="26"/>
        <v>0</v>
      </c>
      <c r="AE233" s="1435">
        <f t="shared" si="27"/>
        <v>0</v>
      </c>
      <c r="AF233" s="1434">
        <f t="shared" si="28"/>
        <v>0</v>
      </c>
      <c r="AG233" s="18"/>
      <c r="AH233" s="18"/>
    </row>
    <row r="234" spans="1:34" s="8" customFormat="1" x14ac:dyDescent="0.25">
      <c r="A234" s="1314"/>
      <c r="B234" s="1313"/>
      <c r="C234" s="1395" t="s">
        <v>1000</v>
      </c>
      <c r="D234" s="1530">
        <f t="shared" ref="D234:J234" si="31">SUM(D222:D233)</f>
        <v>0</v>
      </c>
      <c r="E234" s="1530">
        <f t="shared" si="31"/>
        <v>0</v>
      </c>
      <c r="F234" s="1530">
        <f t="shared" si="31"/>
        <v>0</v>
      </c>
      <c r="G234" s="1530">
        <f t="shared" si="31"/>
        <v>0</v>
      </c>
      <c r="H234" s="1530">
        <f t="shared" si="31"/>
        <v>0</v>
      </c>
      <c r="I234" s="1530">
        <f t="shared" si="31"/>
        <v>0</v>
      </c>
      <c r="J234" s="1531">
        <f t="shared" si="31"/>
        <v>0</v>
      </c>
      <c r="K234" s="1609"/>
      <c r="L234" s="1609"/>
      <c r="M234" s="18"/>
      <c r="N234" s="18"/>
      <c r="O234" s="18"/>
      <c r="P234" s="1436" t="e">
        <f>SUM(P222:P233)</f>
        <v>#N/A</v>
      </c>
      <c r="Q234" s="1437">
        <f>SUM(Q222:Q233)</f>
        <v>0</v>
      </c>
      <c r="R234" s="1436">
        <f t="shared" ref="R234" si="32">SUM(R222:R233)</f>
        <v>0</v>
      </c>
      <c r="S234" s="1436" t="e">
        <f t="shared" ref="S234" si="33">SUM(S222:S233)</f>
        <v>#N/A</v>
      </c>
      <c r="T234" s="1436" t="e">
        <f t="shared" ref="T234" si="34">SUM(T222:T233)</f>
        <v>#N/A</v>
      </c>
      <c r="U234" s="1436">
        <f t="shared" ref="U234" si="35">SUM(U222:U233)</f>
        <v>0</v>
      </c>
      <c r="V234" s="1436">
        <f t="shared" ref="V234" si="36">SUM(V222:V233)</f>
        <v>0</v>
      </c>
      <c r="W234" s="1436">
        <f t="shared" ref="W234" si="37">SUM(W222:W233)</f>
        <v>0</v>
      </c>
      <c r="X234" s="39"/>
      <c r="Y234" s="1433">
        <f t="shared" si="21"/>
        <v>0</v>
      </c>
      <c r="Z234" s="1434">
        <f t="shared" si="22"/>
        <v>0</v>
      </c>
      <c r="AA234" s="1434">
        <f t="shared" si="23"/>
        <v>0</v>
      </c>
      <c r="AB234" s="1434">
        <f t="shared" si="24"/>
        <v>0</v>
      </c>
      <c r="AC234" s="1435">
        <f t="shared" si="25"/>
        <v>0</v>
      </c>
      <c r="AD234" s="1435">
        <f t="shared" si="26"/>
        <v>0</v>
      </c>
      <c r="AE234" s="1435">
        <f t="shared" si="27"/>
        <v>0</v>
      </c>
      <c r="AF234" s="1434">
        <f t="shared" si="28"/>
        <v>0</v>
      </c>
      <c r="AG234" s="18"/>
      <c r="AH234" s="18"/>
    </row>
    <row r="235" spans="1:34" s="8" customFormat="1" ht="29.25" customHeight="1" x14ac:dyDescent="0.25">
      <c r="A235" s="1314"/>
      <c r="B235" s="1313"/>
      <c r="C235" s="10"/>
      <c r="D235" s="10"/>
      <c r="E235" s="10"/>
      <c r="F235" s="1601"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601"/>
      <c r="H235" s="1601"/>
      <c r="I235" s="1601"/>
      <c r="J235" s="1601"/>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25">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75" thickBot="1" x14ac:dyDescent="0.3">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
      <c r="B238" s="1392">
        <f>5/8</f>
        <v>0.625</v>
      </c>
      <c r="C238" s="1603" t="s">
        <v>1446</v>
      </c>
      <c r="D238" s="1603"/>
      <c r="E238" s="1603"/>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25">
      <c r="A239" s="1314"/>
      <c r="B239" s="1363">
        <f>B233+1</f>
        <v>137</v>
      </c>
      <c r="C239" s="1504" t="s">
        <v>1898</v>
      </c>
      <c r="D239" s="1510" t="s">
        <v>536</v>
      </c>
      <c r="E239" s="1511">
        <v>2017</v>
      </c>
      <c r="F239" s="1512"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13"/>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25">
      <c r="A240" s="18"/>
      <c r="B240" s="18"/>
      <c r="C240" s="1582" t="s">
        <v>1281</v>
      </c>
      <c r="D240" s="1582"/>
      <c r="E240" s="1582"/>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25">
      <c r="A241" s="18"/>
      <c r="B241" s="18"/>
      <c r="C241" s="18"/>
      <c r="D241" s="18"/>
      <c r="E241" s="18"/>
      <c r="F241" s="151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25">
      <c r="A242" s="1314"/>
      <c r="B242" s="1313"/>
      <c r="C242" s="1509" t="s">
        <v>1901</v>
      </c>
      <c r="D242" s="1515" t="str">
        <f>CONCATENATE(E239-2,"/",E239-1," гг.")</f>
        <v>2015/2016 гг.</v>
      </c>
      <c r="E242" s="1515"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25">
      <c r="A243" s="1314"/>
      <c r="B243" s="1363">
        <f>B239+1</f>
        <v>138</v>
      </c>
      <c r="C243" s="1514" t="s">
        <v>1902</v>
      </c>
      <c r="D243" s="1505" t="s">
        <v>1900</v>
      </c>
      <c r="E243" s="1466"/>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25">
      <c r="A244" s="1314"/>
      <c r="B244" s="1363">
        <f>B243+1</f>
        <v>139</v>
      </c>
      <c r="C244" s="1514" t="s">
        <v>1903</v>
      </c>
      <c r="D244" s="1466"/>
      <c r="E244" s="1466"/>
      <c r="F244" s="1517"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25">
      <c r="A245" s="1314"/>
      <c r="B245" s="1313"/>
      <c r="C245" s="1506" t="s">
        <v>1904</v>
      </c>
      <c r="D245" s="1583">
        <f>IF(OR(ISBLANK(D244),ISBLANK(E243)),0,IF(E244="",(DATE(E239-1,12,31)-E243+D244-DATE(E239-1,1,1)),E244-E243))</f>
        <v>0</v>
      </c>
      <c r="E245" s="1584"/>
      <c r="F245" s="151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25">
      <c r="B246" s="1313"/>
      <c r="C246" s="1507"/>
      <c r="D246" s="1508" t="str">
        <f>IF(OR(D244="",E243="",D244&gt;E243),"Введите корректные даты ОП! ","")</f>
        <v xml:space="preserve">Введите корректные даты ОП! </v>
      </c>
      <c r="E246" s="1508"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25">
      <c r="A247" s="1314"/>
      <c r="B247" s="1313"/>
      <c r="C247" s="18"/>
      <c r="D247" s="1429"/>
      <c r="E247" s="142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25">
      <c r="A248" s="1314"/>
      <c r="B248" s="1363"/>
      <c r="C248" s="1502" t="s">
        <v>1433</v>
      </c>
      <c r="D248" s="1535">
        <f>IF(E244="",D244,E244)</f>
        <v>0</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x14ac:dyDescent="0.25">
      <c r="B249" s="1313"/>
      <c r="C249" s="1579" t="s">
        <v>995</v>
      </c>
      <c r="D249" s="1606" t="s">
        <v>1867</v>
      </c>
      <c r="E249" s="1607"/>
      <c r="F249" s="1579" t="s">
        <v>1868</v>
      </c>
      <c r="G249" s="1579"/>
      <c r="H249" s="1580" t="s">
        <v>1282</v>
      </c>
      <c r="I249" s="1581" t="s">
        <v>1287</v>
      </c>
      <c r="J249" s="1581" t="s">
        <v>1288</v>
      </c>
      <c r="K249" s="1604"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25">
      <c r="B250" s="1313"/>
      <c r="C250" s="1579"/>
      <c r="D250" s="1438" t="s">
        <v>1002</v>
      </c>
      <c r="E250" s="1438" t="s">
        <v>1283</v>
      </c>
      <c r="F250" s="1438" t="s">
        <v>1284</v>
      </c>
      <c r="G250" s="1438" t="s">
        <v>1285</v>
      </c>
      <c r="H250" s="1580"/>
      <c r="I250" s="1581"/>
      <c r="J250" s="1581"/>
      <c r="K250" s="1605"/>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25">
      <c r="B251" s="1363">
        <f>B244+1</f>
        <v>140</v>
      </c>
      <c r="C251" s="1439" t="s">
        <v>488</v>
      </c>
      <c r="D251" s="1440" t="e">
        <f>Климатология!AI2</f>
        <v>#N/A</v>
      </c>
      <c r="E251" s="1456"/>
      <c r="F251" s="1440" t="e">
        <f>Климатология!AL2</f>
        <v>#N/A</v>
      </c>
      <c r="G251" s="1440">
        <f>($D$82-IF(I251&lt;0.5*J251,8,E251))*I251</f>
        <v>620</v>
      </c>
      <c r="H251" s="1441" t="e">
        <f>IF(G251=0,0,F251/G251)</f>
        <v>#N/A</v>
      </c>
      <c r="I251" s="1440">
        <v>31</v>
      </c>
      <c r="J251" s="1440">
        <v>31</v>
      </c>
      <c r="K251" s="1442">
        <f>IF(I251&lt;0.5*J251,8,E251)*I251</f>
        <v>0</v>
      </c>
      <c r="L251" s="1430">
        <f>IF(AND(I251&gt;0,E251=0),1,0)</f>
        <v>1</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363">
        <f>B251+1</f>
        <v>141</v>
      </c>
      <c r="C252" s="1443" t="s">
        <v>489</v>
      </c>
      <c r="D252" s="1444" t="e">
        <f>Климатология!AM2</f>
        <v>#N/A</v>
      </c>
      <c r="E252" s="1457"/>
      <c r="F252" s="1444" t="e">
        <f>Климатология!AP2</f>
        <v>#N/A</v>
      </c>
      <c r="G252" s="1444">
        <f t="shared" ref="G252:G254" si="38">($D$82-IF(I252&lt;0.5*J252,8,E252))*I252</f>
        <v>0</v>
      </c>
      <c r="H252" s="1445">
        <f t="shared" ref="H252:H263" si="39">IF(G252=0,0,F252/G252)</f>
        <v>0</v>
      </c>
      <c r="I252" s="1444">
        <f>IF(MONTH($D$248)=2,DAY($D$248),IF(MONTH($D$248)&lt;2,0,J252))</f>
        <v>0</v>
      </c>
      <c r="J252" s="1444">
        <v>28</v>
      </c>
      <c r="K252" s="1446">
        <f t="shared" ref="K252:K262" si="40">IF(I252&lt;0.5*J252,8,E252)*I252</f>
        <v>0</v>
      </c>
      <c r="L252" s="1430">
        <f t="shared" ref="L252:L263" si="41">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363">
        <f t="shared" ref="B253:B262" si="42">B252+1</f>
        <v>142</v>
      </c>
      <c r="C253" s="1443" t="s">
        <v>490</v>
      </c>
      <c r="D253" s="1444" t="e">
        <f>Климатология!AQ2</f>
        <v>#N/A</v>
      </c>
      <c r="E253" s="1457"/>
      <c r="F253" s="1444" t="e">
        <f>Климатология!AT2</f>
        <v>#N/A</v>
      </c>
      <c r="G253" s="1444">
        <f t="shared" si="38"/>
        <v>0</v>
      </c>
      <c r="H253" s="1445">
        <f t="shared" si="39"/>
        <v>0</v>
      </c>
      <c r="I253" s="1444">
        <f>IF(MONTH($D$248)=3,DAY($D$248),IF(MONTH($D$248)&lt;3,0,J253))</f>
        <v>0</v>
      </c>
      <c r="J253" s="1444">
        <v>31</v>
      </c>
      <c r="K253" s="1446">
        <f t="shared" si="40"/>
        <v>0</v>
      </c>
      <c r="L253" s="1430">
        <f t="shared" si="41"/>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363">
        <f t="shared" si="42"/>
        <v>143</v>
      </c>
      <c r="C254" s="1443" t="s">
        <v>491</v>
      </c>
      <c r="D254" s="1444" t="e">
        <f>Климатология!AU2</f>
        <v>#N/A</v>
      </c>
      <c r="E254" s="1457"/>
      <c r="F254" s="1444" t="e">
        <f>Климатология!AX2</f>
        <v>#N/A</v>
      </c>
      <c r="G254" s="1444">
        <f t="shared" si="38"/>
        <v>0</v>
      </c>
      <c r="H254" s="1445">
        <f t="shared" si="39"/>
        <v>0</v>
      </c>
      <c r="I254" s="1444">
        <f>IF(MONTH($D$248)=4,DAY($D$248),IF(MONTH($D$248)&lt;4,0,J254))</f>
        <v>0</v>
      </c>
      <c r="J254" s="1444">
        <v>30</v>
      </c>
      <c r="K254" s="1446">
        <f t="shared" si="40"/>
        <v>0</v>
      </c>
      <c r="L254" s="1430">
        <f t="shared" si="41"/>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363">
        <f t="shared" si="42"/>
        <v>144</v>
      </c>
      <c r="C255" s="1443" t="s">
        <v>805</v>
      </c>
      <c r="D255" s="1444" t="e">
        <f>Климатология!AY2</f>
        <v>#N/A</v>
      </c>
      <c r="E255" s="1457"/>
      <c r="F255" s="1444" t="e">
        <f>Климатология!BB2</f>
        <v>#N/A</v>
      </c>
      <c r="G255" s="1444">
        <f>($D$82-IF(I255&lt;0.5*J255,8,E255))*I255</f>
        <v>0</v>
      </c>
      <c r="H255" s="1445">
        <f t="shared" si="39"/>
        <v>0</v>
      </c>
      <c r="I255" s="1444">
        <f>IF(MONTH($D$248)=5,DAY($D$248),IF(MONTH($D$248)&lt;5,0,J255))</f>
        <v>0</v>
      </c>
      <c r="J255" s="1444">
        <v>31</v>
      </c>
      <c r="K255" s="1446">
        <f t="shared" si="40"/>
        <v>0</v>
      </c>
      <c r="L255" s="1430">
        <f t="shared" si="41"/>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363">
        <f t="shared" si="42"/>
        <v>145</v>
      </c>
      <c r="C256" s="1443" t="s">
        <v>806</v>
      </c>
      <c r="D256" s="1444" t="e">
        <f>Климатология!BC2</f>
        <v>#N/A</v>
      </c>
      <c r="E256" s="1457"/>
      <c r="F256" s="1444" t="e">
        <f>Климатология!BF2</f>
        <v>#N/A</v>
      </c>
      <c r="G256" s="1444"/>
      <c r="H256" s="1445">
        <f t="shared" si="39"/>
        <v>0</v>
      </c>
      <c r="I256" s="1444">
        <f>IF(MONTH($D$248)=6,DAY($D$248),IF(MONTH($D$248)&lt;6,0,J256))</f>
        <v>0</v>
      </c>
      <c r="J256" s="1444">
        <v>30</v>
      </c>
      <c r="K256" s="1446">
        <f t="shared" si="40"/>
        <v>0</v>
      </c>
      <c r="L256" s="1430">
        <f t="shared" si="41"/>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363">
        <f t="shared" si="42"/>
        <v>146</v>
      </c>
      <c r="C257" s="1443" t="s">
        <v>807</v>
      </c>
      <c r="D257" s="1444" t="e">
        <f>Климатология!K2</f>
        <v>#N/A</v>
      </c>
      <c r="E257" s="1457"/>
      <c r="F257" s="1444" t="e">
        <f>Климатология!N2</f>
        <v>#N/A</v>
      </c>
      <c r="G257" s="1444"/>
      <c r="H257" s="1445">
        <f t="shared" si="39"/>
        <v>0</v>
      </c>
      <c r="I257" s="1444">
        <f>IF(MONTH($D$248)=7,DAY($D$248),IF(MONTH($D$248)&lt;7,0,J257))</f>
        <v>0</v>
      </c>
      <c r="J257" s="1444">
        <v>31</v>
      </c>
      <c r="K257" s="1446">
        <f t="shared" si="40"/>
        <v>0</v>
      </c>
      <c r="L257" s="1430">
        <f t="shared" si="41"/>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363">
        <f t="shared" si="42"/>
        <v>147</v>
      </c>
      <c r="C258" s="1443" t="s">
        <v>808</v>
      </c>
      <c r="D258" s="1444" t="e">
        <f>Климатология!O2</f>
        <v>#N/A</v>
      </c>
      <c r="E258" s="1457"/>
      <c r="F258" s="1444" t="e">
        <f>Климатология!R2</f>
        <v>#N/A</v>
      </c>
      <c r="G258" s="1444"/>
      <c r="H258" s="1445">
        <f t="shared" si="39"/>
        <v>0</v>
      </c>
      <c r="I258" s="1444">
        <f>IF(MONTH($E$243)=8,J258-DAY($E$243),IF(MONTH($E$243)&lt;8,J258,0))</f>
        <v>31</v>
      </c>
      <c r="J258" s="1444">
        <v>31</v>
      </c>
      <c r="K258" s="1446">
        <f t="shared" si="40"/>
        <v>0</v>
      </c>
      <c r="L258" s="1430">
        <f t="shared" si="41"/>
        <v>1</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363">
        <f t="shared" si="42"/>
        <v>148</v>
      </c>
      <c r="C259" s="1443" t="s">
        <v>809</v>
      </c>
      <c r="D259" s="1444" t="e">
        <f>Климатология!S2</f>
        <v>#N/A</v>
      </c>
      <c r="E259" s="1457"/>
      <c r="F259" s="1444" t="e">
        <f>Климатология!V2</f>
        <v>#N/A</v>
      </c>
      <c r="G259" s="1444">
        <f>($D$82-IF(I259&lt;0.5*J259,8,E259))*I259</f>
        <v>600</v>
      </c>
      <c r="H259" s="1445" t="e">
        <f t="shared" si="39"/>
        <v>#N/A</v>
      </c>
      <c r="I259" s="1444">
        <f>IF(MONTH($E$243)=9,J259-DAY($E$243),IF(MONTH($E$243)&lt;9,J259,0))</f>
        <v>30</v>
      </c>
      <c r="J259" s="1444">
        <v>30</v>
      </c>
      <c r="K259" s="1446">
        <f t="shared" si="40"/>
        <v>0</v>
      </c>
      <c r="L259" s="1430">
        <f t="shared" si="41"/>
        <v>1</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363">
        <f t="shared" si="42"/>
        <v>149</v>
      </c>
      <c r="C260" s="1443" t="s">
        <v>482</v>
      </c>
      <c r="D260" s="1444" t="e">
        <f>Климатология!W2</f>
        <v>#N/A</v>
      </c>
      <c r="E260" s="1457"/>
      <c r="F260" s="1444" t="e">
        <f>Климатология!Z2</f>
        <v>#N/A</v>
      </c>
      <c r="G260" s="1444">
        <f>($D$82-IF(I260&lt;0.5*J260,8,E260))*I260</f>
        <v>620</v>
      </c>
      <c r="H260" s="1445" t="e">
        <f t="shared" si="39"/>
        <v>#N/A</v>
      </c>
      <c r="I260" s="1444">
        <f>IF(MONTH(E243)=10,J260-DAY(E243),IF(MONTH(E243)&lt;10,J260,0))</f>
        <v>31</v>
      </c>
      <c r="J260" s="1444">
        <v>31</v>
      </c>
      <c r="K260" s="1446">
        <f t="shared" si="40"/>
        <v>0</v>
      </c>
      <c r="L260" s="1430">
        <f t="shared" si="41"/>
        <v>1</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363">
        <f t="shared" si="42"/>
        <v>150</v>
      </c>
      <c r="C261" s="1443" t="s">
        <v>486</v>
      </c>
      <c r="D261" s="1444" t="e">
        <f>Климатология!AA2</f>
        <v>#N/A</v>
      </c>
      <c r="E261" s="1457"/>
      <c r="F261" s="1446" t="e">
        <f>Климатология!AD2</f>
        <v>#N/A</v>
      </c>
      <c r="G261" s="1444">
        <f t="shared" ref="G261:G262" si="43">($D$82-IF(I261&lt;0.5*J261,8,E261))*I261</f>
        <v>600</v>
      </c>
      <c r="H261" s="1445" t="e">
        <f t="shared" si="39"/>
        <v>#N/A</v>
      </c>
      <c r="I261" s="1444">
        <f>IF(MONTH(D248)=11,J261-DAY(D248),IF(MONTH(D248)&lt;11,J261,0))</f>
        <v>30</v>
      </c>
      <c r="J261" s="1444">
        <v>30</v>
      </c>
      <c r="K261" s="1446">
        <f>IF(I261&lt;0.5*J261,8,E261)*I261</f>
        <v>0</v>
      </c>
      <c r="L261" s="1430">
        <f t="shared" si="41"/>
        <v>1</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363">
        <f t="shared" si="42"/>
        <v>151</v>
      </c>
      <c r="C262" s="1447" t="s">
        <v>487</v>
      </c>
      <c r="D262" s="1448" t="e">
        <f>Климатология!AE2</f>
        <v>#N/A</v>
      </c>
      <c r="E262" s="1458"/>
      <c r="F262" s="1448" t="e">
        <f>Климатология!AH2</f>
        <v>#N/A</v>
      </c>
      <c r="G262" s="1448">
        <f t="shared" si="43"/>
        <v>620</v>
      </c>
      <c r="H262" s="1449" t="e">
        <f t="shared" si="39"/>
        <v>#N/A</v>
      </c>
      <c r="I262" s="1448">
        <f>IF(MONTH(D248)=12,J262-DAY(D248),IF(MONTH(D248)&lt;12,J262,0))</f>
        <v>31</v>
      </c>
      <c r="J262" s="1448">
        <v>31</v>
      </c>
      <c r="K262" s="1450">
        <f t="shared" si="40"/>
        <v>0</v>
      </c>
      <c r="L262" s="1430">
        <f t="shared" si="41"/>
        <v>1</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313"/>
      <c r="C263" s="1451" t="s">
        <v>1286</v>
      </c>
      <c r="D263" s="1452" t="e">
        <f>Климатология!F2</f>
        <v>#N/A</v>
      </c>
      <c r="E263" s="1536" t="str">
        <f>K263</f>
        <v/>
      </c>
      <c r="F263" s="1452" t="e">
        <f>Климатология!I2</f>
        <v>#N/A</v>
      </c>
      <c r="G263" s="1453" t="e">
        <f>($D$82-E263)*D245</f>
        <v>#VALUE!</v>
      </c>
      <c r="H263" s="1454" t="e">
        <f t="shared" si="39"/>
        <v>#VALUE!</v>
      </c>
      <c r="I263" s="1453"/>
      <c r="J263" s="1453"/>
      <c r="K263" s="1455" t="str">
        <f>IF(D245&lt;&gt;0,SUM(K251:K262)/D245,"")</f>
        <v/>
      </c>
      <c r="L263" s="1430">
        <f t="shared" si="41"/>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75" thickBot="1" x14ac:dyDescent="0.3">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
      <c r="A265" s="1314"/>
      <c r="B265" s="1392">
        <f>6/8</f>
        <v>0.75</v>
      </c>
      <c r="C265" s="1586" t="s">
        <v>1324</v>
      </c>
      <c r="D265" s="1587"/>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25">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25">
      <c r="B267" s="1313"/>
      <c r="C267" s="1459" t="s">
        <v>1869</v>
      </c>
      <c r="D267" s="1459"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25">
      <c r="B268" s="1313"/>
      <c r="C268" s="1460" t="s">
        <v>1321</v>
      </c>
      <c r="D268" s="1460"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363">
        <f>B262+1</f>
        <v>152</v>
      </c>
      <c r="C269" s="1461"/>
      <c r="D269" s="1461"/>
      <c r="E269" s="20" t="str">
        <f>IF(OR(C269="",D269=""),"Введите тарифы!","")</f>
        <v>Введите тарифы!</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25">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25">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35">
      <c r="B273" s="1392">
        <f>7/8</f>
        <v>0.875</v>
      </c>
      <c r="C273" s="1602" t="s">
        <v>1665</v>
      </c>
      <c r="D273" s="1602"/>
      <c r="E273" s="1602"/>
      <c r="F273" s="1602"/>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25">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25">
      <c r="A275" s="1314"/>
      <c r="B275" s="1313"/>
      <c r="C275" s="1463">
        <v>1</v>
      </c>
      <c r="D275" s="14" t="s">
        <v>1664</v>
      </c>
      <c r="E275" s="26" t="str">
        <f>IF(D13="Пожалуйста, выберите","Выберите серию или вариант - нет в списке","")</f>
        <v/>
      </c>
      <c r="F275" s="1465"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314"/>
      <c r="B276" s="1313"/>
      <c r="C276" s="1463">
        <v>2</v>
      </c>
      <c r="D276" s="14" t="s">
        <v>1667</v>
      </c>
      <c r="E276" s="26" t="str">
        <f>IF(OR(D16="",D18="",D19="",D21="",D12="",D10="",D11="",F15&lt;&gt;""),"Неполный ввод общей информации","")</f>
        <v>Неполный ввод общей информации</v>
      </c>
      <c r="F276" s="1465" t="str">
        <f>IF(E276="","Введено верно","")</f>
        <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314"/>
      <c r="B277" s="1313"/>
      <c r="C277" s="1463">
        <v>3</v>
      </c>
      <c r="D277" s="14" t="s">
        <v>1661</v>
      </c>
      <c r="E277" s="26" t="str">
        <f>IF(AND(E66="Введено верно"),"","Ошибки во вводе объемно-планировочных характеристик")</f>
        <v>Ошибки во вводе объемно-планировочных характеристик</v>
      </c>
      <c r="F277" s="1465" t="str">
        <f t="shared" ref="F277:F286" si="44">IF(E277="","Введено верно","")</f>
        <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314"/>
      <c r="B278" s="1313"/>
      <c r="C278" s="1463">
        <v>4</v>
      </c>
      <c r="D278" s="14" t="s">
        <v>1669</v>
      </c>
      <c r="E278" s="26" t="str">
        <f>IF(D178="","","Введите температурный график (поля 99-100)")</f>
        <v>Введите температурный график (поля 99-100)</v>
      </c>
      <c r="F278" s="1465" t="str">
        <f t="shared" si="44"/>
        <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314"/>
      <c r="B279" s="1313"/>
      <c r="C279" s="1463">
        <v>5</v>
      </c>
      <c r="D279" s="14" t="s">
        <v>1660</v>
      </c>
      <c r="E279" s="26" t="str">
        <f>IF(AND(CGVS=1,OR(F205=0,F206=0,F207=0,F208=0,F209=0,F210=0,F211=0,F212=0,F213=0,F214=0,F215=0,F216=0)),"Неполный ввод водоразбора по месяцам!","")</f>
        <v>Неполный ввод водоразбора по месяцам!</v>
      </c>
      <c r="F279" s="1465" t="str">
        <f>IF(E279="","Введено верно","")</f>
        <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314"/>
      <c r="B280" s="1313"/>
      <c r="C280" s="1463">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65"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314"/>
      <c r="B281" s="1313"/>
      <c r="C281" s="1463">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Неполный ввод потребления теплоэнергии по месяцам!</v>
      </c>
      <c r="F281" s="1465" t="str">
        <f t="shared" si="44"/>
        <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314"/>
      <c r="B282" s="1313"/>
      <c r="C282" s="1463">
        <v>8</v>
      </c>
      <c r="D282" s="14" t="s">
        <v>1675</v>
      </c>
      <c r="E282" s="26" t="str">
        <f>IF(OR(F222=0,F223=0,F224=0,F225=0,F226=0,F227=0,F228=0,F229=0,F230=0,F231=0,F232=0,F233=0,F234=0),"Неполный ввод потребления электроэнергии на ОДН!","")</f>
        <v>Неполный ввод потребления электроэнергии на ОДН!</v>
      </c>
      <c r="F282" s="1465" t="str">
        <f t="shared" si="44"/>
        <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314"/>
      <c r="B283" s="1313"/>
      <c r="C283" s="1463">
        <v>9</v>
      </c>
      <c r="D283" s="14" t="s">
        <v>1663</v>
      </c>
      <c r="E283" s="26" t="str">
        <f>IF(AND(D66="",F22="",F23=""),"","МКД не подходит для программы из-за доли нежилых помещений или отсутствия в них ИПУ электроэнергии")</f>
        <v/>
      </c>
      <c r="F283" s="1465"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314"/>
      <c r="B284" s="1313"/>
      <c r="C284" s="1463">
        <v>10</v>
      </c>
      <c r="D284" s="14" t="s">
        <v>1670</v>
      </c>
      <c r="E284" s="26" t="str">
        <f>CONCATENATE(D246,E246)</f>
        <v xml:space="preserve">Введите корректные даты ОП! </v>
      </c>
      <c r="F284" s="1465" t="str">
        <f t="shared" si="44"/>
        <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314"/>
      <c r="B285" s="1313"/>
      <c r="C285" s="1463">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Неполный ввод температуры по месяцам!</v>
      </c>
      <c r="F285" s="1465" t="str">
        <f t="shared" si="44"/>
        <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314"/>
      <c r="B286" s="1313"/>
      <c r="C286" s="1463">
        <v>12</v>
      </c>
      <c r="D286" s="14" t="s">
        <v>1666</v>
      </c>
      <c r="E286" s="26" t="str">
        <f>IF(E269="","","Введите тарифы")</f>
        <v>Введите тарифы</v>
      </c>
      <c r="F286" s="1465" t="str">
        <f t="shared" si="44"/>
        <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75" x14ac:dyDescent="0.3">
      <c r="B287" s="1313"/>
      <c r="C287" s="19"/>
      <c r="D287" s="1462" t="s">
        <v>1871</v>
      </c>
      <c r="E287" s="1464" t="str">
        <f>IF(AND(E286="",E276="",E275="",E283="",E281="",E279="",E277="",E285="",E280="",E278="",E284="",E282=""),"Ошибок нет","Исправьте ошибки ввода")</f>
        <v>Исправьте ошибки ввода</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75" thickBot="1" x14ac:dyDescent="0.3">
      <c r="A288" s="1314"/>
      <c r="B288" s="1393">
        <f>IF(E287="Ошибок нет",1,0)</f>
        <v>0</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4">
      <c r="B289" s="1392" t="str">
        <f>IF(E287="Ошибок нет","8/8","?/?")</f>
        <v>?/?</v>
      </c>
      <c r="C289" s="1585" t="str">
        <f>IF(E287="Ошибок нет","ГОТОВО!   Переходите на лист "&amp;CHAR(34)&amp;"Список мероприятий"&amp;CHAR(34),"")</f>
        <v/>
      </c>
      <c r="D289" s="1585"/>
      <c r="E289" s="1585"/>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25">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25">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25">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25">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25">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25">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25">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25">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25">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25">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25">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25">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25">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25">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25">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F249:G249"/>
    <mergeCell ref="H249:H250"/>
    <mergeCell ref="I249:I250"/>
    <mergeCell ref="J249:J250"/>
    <mergeCell ref="C240:E240"/>
    <mergeCell ref="D245:E245"/>
    <mergeCell ref="B14:B15"/>
    <mergeCell ref="F1:G1"/>
    <mergeCell ref="H1:I1"/>
    <mergeCell ref="J1:K1"/>
    <mergeCell ref="C3:D6"/>
    <mergeCell ref="E14:E15"/>
    <mergeCell ref="C8:E8"/>
    <mergeCell ref="C14:C1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25</xdr:row>
                    <xdr:rowOff>57150</xdr:rowOff>
                  </from>
                  <to>
                    <xdr:col>3</xdr:col>
                    <xdr:colOff>1047750</xdr:colOff>
                    <xdr:row>25</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25</xdr:row>
                    <xdr:rowOff>66675</xdr:rowOff>
                  </from>
                  <to>
                    <xdr:col>3</xdr:col>
                    <xdr:colOff>2133600</xdr:colOff>
                    <xdr:row>25</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122</xdr:row>
                    <xdr:rowOff>9525</xdr:rowOff>
                  </from>
                  <to>
                    <xdr:col>2</xdr:col>
                    <xdr:colOff>1666875</xdr:colOff>
                    <xdr:row>123</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122</xdr:row>
                    <xdr:rowOff>19050</xdr:rowOff>
                  </from>
                  <to>
                    <xdr:col>2</xdr:col>
                    <xdr:colOff>3629025</xdr:colOff>
                    <xdr:row>123</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88</xdr:row>
                    <xdr:rowOff>38100</xdr:rowOff>
                  </from>
                  <to>
                    <xdr:col>2</xdr:col>
                    <xdr:colOff>2981325</xdr:colOff>
                    <xdr:row>90</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86</xdr:row>
                    <xdr:rowOff>38100</xdr:rowOff>
                  </from>
                  <to>
                    <xdr:col>2</xdr:col>
                    <xdr:colOff>3752850</xdr:colOff>
                    <xdr:row>88</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86</xdr:row>
                    <xdr:rowOff>47625</xdr:rowOff>
                  </from>
                  <to>
                    <xdr:col>4</xdr:col>
                    <xdr:colOff>4029075</xdr:colOff>
                    <xdr:row>92</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86</xdr:row>
                    <xdr:rowOff>190500</xdr:rowOff>
                  </from>
                  <to>
                    <xdr:col>4</xdr:col>
                    <xdr:colOff>3895725</xdr:colOff>
                    <xdr:row>88</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88</xdr:row>
                    <xdr:rowOff>57150</xdr:rowOff>
                  </from>
                  <to>
                    <xdr:col>4</xdr:col>
                    <xdr:colOff>3962400</xdr:colOff>
                    <xdr:row>89</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89</xdr:row>
                    <xdr:rowOff>142875</xdr:rowOff>
                  </from>
                  <to>
                    <xdr:col>4</xdr:col>
                    <xdr:colOff>3876675</xdr:colOff>
                    <xdr:row>91</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26</xdr:row>
                    <xdr:rowOff>19050</xdr:rowOff>
                  </from>
                  <to>
                    <xdr:col>3</xdr:col>
                    <xdr:colOff>1047750</xdr:colOff>
                    <xdr:row>26</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26</xdr:row>
                    <xdr:rowOff>28575</xdr:rowOff>
                  </from>
                  <to>
                    <xdr:col>3</xdr:col>
                    <xdr:colOff>2124075</xdr:colOff>
                    <xdr:row>26</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86</xdr:row>
                    <xdr:rowOff>180975</xdr:rowOff>
                  </from>
                  <to>
                    <xdr:col>2</xdr:col>
                    <xdr:colOff>2047875</xdr:colOff>
                    <xdr:row>87</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87</xdr:row>
                    <xdr:rowOff>0</xdr:rowOff>
                  </from>
                  <to>
                    <xdr:col>2</xdr:col>
                    <xdr:colOff>2790825</xdr:colOff>
                    <xdr:row>87</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97</xdr:row>
                    <xdr:rowOff>38100</xdr:rowOff>
                  </from>
                  <to>
                    <xdr:col>2</xdr:col>
                    <xdr:colOff>3571875</xdr:colOff>
                    <xdr:row>100</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97</xdr:row>
                    <xdr:rowOff>152400</xdr:rowOff>
                  </from>
                  <to>
                    <xdr:col>2</xdr:col>
                    <xdr:colOff>3562350</xdr:colOff>
                    <xdr:row>99</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99</xdr:row>
                    <xdr:rowOff>133350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97</xdr:row>
                    <xdr:rowOff>76200</xdr:rowOff>
                  </from>
                  <to>
                    <xdr:col>4</xdr:col>
                    <xdr:colOff>3867150</xdr:colOff>
                    <xdr:row>102</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98</xdr:row>
                    <xdr:rowOff>57150</xdr:rowOff>
                  </from>
                  <to>
                    <xdr:col>4</xdr:col>
                    <xdr:colOff>3676650</xdr:colOff>
                    <xdr:row>99</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100</xdr:row>
                    <xdr:rowOff>38100</xdr:rowOff>
                  </from>
                  <to>
                    <xdr:col>4</xdr:col>
                    <xdr:colOff>3733800</xdr:colOff>
                    <xdr:row>100</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114</xdr:row>
                    <xdr:rowOff>19050</xdr:rowOff>
                  </from>
                  <to>
                    <xdr:col>3</xdr:col>
                    <xdr:colOff>0</xdr:colOff>
                    <xdr:row>119</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114</xdr:row>
                    <xdr:rowOff>152400</xdr:rowOff>
                  </from>
                  <to>
                    <xdr:col>2</xdr:col>
                    <xdr:colOff>3743325</xdr:colOff>
                    <xdr:row>116</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116</xdr:row>
                    <xdr:rowOff>47625</xdr:rowOff>
                  </from>
                  <to>
                    <xdr:col>2</xdr:col>
                    <xdr:colOff>3762375</xdr:colOff>
                    <xdr:row>117</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117</xdr:row>
                    <xdr:rowOff>47625</xdr:rowOff>
                  </from>
                  <to>
                    <xdr:col>2</xdr:col>
                    <xdr:colOff>3714750</xdr:colOff>
                    <xdr:row>118</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118</xdr:row>
                    <xdr:rowOff>57150</xdr:rowOff>
                  </from>
                  <to>
                    <xdr:col>2</xdr:col>
                    <xdr:colOff>3752850</xdr:colOff>
                    <xdr:row>119</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123</xdr:row>
                    <xdr:rowOff>66675</xdr:rowOff>
                  </from>
                  <to>
                    <xdr:col>2</xdr:col>
                    <xdr:colOff>3762375</xdr:colOff>
                    <xdr:row>123</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91</xdr:row>
                    <xdr:rowOff>19050</xdr:rowOff>
                  </from>
                  <to>
                    <xdr:col>4</xdr:col>
                    <xdr:colOff>3990975</xdr:colOff>
                    <xdr:row>92</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27</xdr:row>
                    <xdr:rowOff>0</xdr:rowOff>
                  </from>
                  <to>
                    <xdr:col>4</xdr:col>
                    <xdr:colOff>47625</xdr:colOff>
                    <xdr:row>28</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28</xdr:row>
                    <xdr:rowOff>0</xdr:rowOff>
                  </from>
                  <to>
                    <xdr:col>3</xdr:col>
                    <xdr:colOff>2371725</xdr:colOff>
                    <xdr:row>29</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28</xdr:row>
                    <xdr:rowOff>209550</xdr:rowOff>
                  </from>
                  <to>
                    <xdr:col>4</xdr:col>
                    <xdr:colOff>133350</xdr:colOff>
                    <xdr:row>30</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16</xdr:row>
                    <xdr:rowOff>0</xdr:rowOff>
                  </from>
                  <to>
                    <xdr:col>3</xdr:col>
                    <xdr:colOff>2933700</xdr:colOff>
                    <xdr:row>17</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22</xdr:row>
                    <xdr:rowOff>0</xdr:rowOff>
                  </from>
                  <to>
                    <xdr:col>3</xdr:col>
                    <xdr:colOff>1143000</xdr:colOff>
                    <xdr:row>23</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34</xdr:row>
                    <xdr:rowOff>19050</xdr:rowOff>
                  </from>
                  <to>
                    <xdr:col>4</xdr:col>
                    <xdr:colOff>0</xdr:colOff>
                    <xdr:row>34</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34</xdr:row>
                    <xdr:rowOff>342900</xdr:rowOff>
                  </from>
                  <to>
                    <xdr:col>3</xdr:col>
                    <xdr:colOff>2990850</xdr:colOff>
                    <xdr:row>35</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101</xdr:row>
                    <xdr:rowOff>85725</xdr:rowOff>
                  </from>
                  <to>
                    <xdr:col>4</xdr:col>
                    <xdr:colOff>3810000</xdr:colOff>
                    <xdr:row>101</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D61:D62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J20" sqref="J20:J22"/>
    </sheetView>
  </sheetViews>
  <sheetFormatPr defaultRowHeight="15" x14ac:dyDescent="0.25"/>
  <cols>
    <col min="1" max="2" width="3.42578125" style="88" customWidth="1"/>
    <col min="3" max="3" width="6" style="88" customWidth="1"/>
    <col min="4" max="4" width="55.140625" style="88" customWidth="1"/>
    <col min="5" max="5" width="41.42578125" style="88" customWidth="1"/>
    <col min="6" max="11" width="13.7109375" style="88" customWidth="1"/>
    <col min="12" max="12" width="55.5703125" style="88" customWidth="1"/>
    <col min="13" max="13" width="2.7109375" style="88" customWidth="1"/>
    <col min="14" max="14" width="1.7109375" style="1284" hidden="1" customWidth="1"/>
    <col min="15" max="15" width="10.85546875" style="88" hidden="1" customWidth="1"/>
    <col min="16" max="16" width="10.5703125" style="88" hidden="1" customWidth="1"/>
    <col min="17" max="17" width="11.5703125" style="88" hidden="1" customWidth="1"/>
    <col min="18" max="26" width="9.140625" style="88" hidden="1" customWidth="1"/>
    <col min="27" max="27" width="6.28515625" style="88" hidden="1" customWidth="1"/>
    <col min="28" max="29" width="9.140625" style="224" hidden="1" customWidth="1"/>
    <col min="30" max="30" width="9.140625" style="88" hidden="1" customWidth="1"/>
    <col min="31" max="31" width="10.7109375" style="88" hidden="1" customWidth="1"/>
    <col min="32" max="32" width="0" style="88" hidden="1" customWidth="1"/>
    <col min="33" max="16384" width="9.140625" style="88"/>
  </cols>
  <sheetData>
    <row r="1" spans="1:45" s="56" customFormat="1" ht="15" customHeight="1" x14ac:dyDescent="0.2">
      <c r="A1" s="53"/>
      <c r="B1" s="1680" t="s">
        <v>1687</v>
      </c>
      <c r="C1" s="1680"/>
      <c r="D1" s="1680"/>
      <c r="F1" s="1623" t="s">
        <v>1680</v>
      </c>
      <c r="G1" s="1623"/>
      <c r="H1" s="1623"/>
      <c r="I1" s="55"/>
      <c r="AB1" s="1187"/>
      <c r="AC1" s="1187"/>
    </row>
    <row r="2" spans="1:45" ht="71.25" customHeight="1" x14ac:dyDescent="0.25">
      <c r="A2" s="1474" t="s">
        <v>1873</v>
      </c>
      <c r="B2" s="87"/>
      <c r="C2" s="1669" t="s">
        <v>1494</v>
      </c>
      <c r="D2" s="1669"/>
      <c r="E2" s="1199" t="s">
        <v>1256</v>
      </c>
      <c r="F2" s="1471" t="s">
        <v>1874</v>
      </c>
      <c r="G2" s="1472" t="s">
        <v>1875</v>
      </c>
      <c r="H2" s="1473" t="s">
        <v>1377</v>
      </c>
      <c r="I2" s="1473" t="s">
        <v>1375</v>
      </c>
      <c r="J2" s="1473" t="s">
        <v>1915</v>
      </c>
      <c r="K2" s="1473" t="s">
        <v>1376</v>
      </c>
      <c r="L2" s="1199" t="s">
        <v>1257</v>
      </c>
      <c r="M2" s="87"/>
      <c r="N2" s="87"/>
      <c r="O2" s="1674" t="s">
        <v>1544</v>
      </c>
      <c r="P2" s="1675"/>
      <c r="Q2" s="1676"/>
      <c r="R2" s="1667" t="s">
        <v>1505</v>
      </c>
      <c r="S2" s="1667"/>
      <c r="T2" s="1667" t="s">
        <v>1506</v>
      </c>
      <c r="U2" s="1667"/>
      <c r="V2" s="1673" t="s">
        <v>1507</v>
      </c>
      <c r="W2" s="1673"/>
      <c r="X2" s="1667" t="s">
        <v>1513</v>
      </c>
      <c r="Y2" s="1667"/>
      <c r="Z2" s="87" t="s">
        <v>1523</v>
      </c>
      <c r="AA2" s="1200" t="s">
        <v>894</v>
      </c>
      <c r="AB2" s="1637" t="s">
        <v>896</v>
      </c>
      <c r="AC2" s="1637"/>
      <c r="AD2" s="1201" t="s">
        <v>895</v>
      </c>
      <c r="AF2" s="87"/>
      <c r="AG2" s="87"/>
      <c r="AH2" s="87"/>
      <c r="AI2" s="87"/>
      <c r="AJ2" s="87"/>
      <c r="AK2" s="87"/>
      <c r="AL2" s="87"/>
      <c r="AM2" s="87"/>
      <c r="AN2" s="87"/>
      <c r="AO2" s="87"/>
      <c r="AP2" s="87"/>
      <c r="AQ2" s="87"/>
      <c r="AR2" s="87"/>
      <c r="AS2" s="87"/>
    </row>
    <row r="3" spans="1:45" ht="20.25" customHeight="1" x14ac:dyDescent="0.25">
      <c r="A3" s="87"/>
      <c r="B3" s="87"/>
      <c r="C3" s="87"/>
      <c r="D3" s="1640" t="s">
        <v>1541</v>
      </c>
      <c r="E3" s="1640"/>
      <c r="F3" s="1640"/>
      <c r="G3" s="1640"/>
      <c r="H3" s="1640"/>
      <c r="I3" s="1640"/>
      <c r="J3" s="1640"/>
      <c r="K3" s="1640"/>
      <c r="L3" s="1640"/>
      <c r="M3" s="87"/>
      <c r="N3" s="87"/>
      <c r="O3" s="1670" t="s">
        <v>1543</v>
      </c>
      <c r="P3" s="1671"/>
      <c r="Q3" s="1672"/>
      <c r="R3" s="1667" t="s">
        <v>1505</v>
      </c>
      <c r="S3" s="1667"/>
      <c r="T3" s="1667" t="s">
        <v>1506</v>
      </c>
      <c r="U3" s="1667"/>
      <c r="V3" s="1673" t="s">
        <v>1507</v>
      </c>
      <c r="W3" s="1673"/>
      <c r="X3" s="1667" t="s">
        <v>1513</v>
      </c>
      <c r="Y3" s="1667"/>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25">
      <c r="A4" s="87"/>
      <c r="B4" s="87"/>
      <c r="C4" s="1668" t="e">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#VALUE!</v>
      </c>
      <c r="D4" s="1668"/>
      <c r="E4" s="1202" t="e">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#VALUE!</v>
      </c>
      <c r="F4" s="1668" t="str">
        <f>'Ввод исходных данных'!G205</f>
        <v/>
      </c>
      <c r="G4" s="1668"/>
      <c r="H4" s="1668"/>
      <c r="I4" s="1668"/>
      <c r="J4" s="1668"/>
      <c r="K4" s="1668"/>
      <c r="L4" s="1203" t="str">
        <f>'Ввод исходных данных'!I205</f>
        <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25">
      <c r="A5" s="87"/>
      <c r="B5" s="87"/>
      <c r="C5" s="87"/>
      <c r="D5" s="1640" t="s">
        <v>1542</v>
      </c>
      <c r="E5" s="1640"/>
      <c r="F5" s="1640"/>
      <c r="G5" s="1640"/>
      <c r="H5" s="1640"/>
      <c r="I5" s="1640"/>
      <c r="J5" s="1640"/>
      <c r="K5" s="1640"/>
      <c r="L5" s="1640"/>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75" x14ac:dyDescent="0.25">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t="e">
        <f>S7+S31+S36+S18+S60</f>
        <v>#DIV/0!</v>
      </c>
      <c r="T6" s="1211"/>
      <c r="U6" s="1212" t="e">
        <f>U7+U31+U36</f>
        <v>#DIV/0!</v>
      </c>
      <c r="V6" s="1211"/>
      <c r="W6" s="1213" t="e">
        <f>W7+W31+W36+W18+W54+W60+W71</f>
        <v>#DIV/0!</v>
      </c>
      <c r="X6" s="1213"/>
      <c r="Y6" s="1213" t="e">
        <f>Y54+Y71+Y31</f>
        <v>#DIV/0!</v>
      </c>
      <c r="Z6" s="87"/>
      <c r="AA6" s="87"/>
      <c r="AB6" s="1188"/>
      <c r="AC6" s="1189"/>
      <c r="AD6" s="88">
        <f>SUM(AD8:AD77)</f>
        <v>0</v>
      </c>
      <c r="AF6" s="87"/>
      <c r="AG6" s="87"/>
      <c r="AH6" s="87"/>
      <c r="AI6" s="87"/>
      <c r="AJ6" s="87"/>
      <c r="AK6" s="87"/>
      <c r="AL6" s="87"/>
      <c r="AM6" s="87"/>
      <c r="AN6" s="87"/>
      <c r="AO6" s="87"/>
      <c r="AP6" s="87"/>
      <c r="AQ6" s="87"/>
      <c r="AR6" s="87"/>
      <c r="AS6" s="87"/>
    </row>
    <row r="7" spans="1:45" ht="15.75" x14ac:dyDescent="0.25">
      <c r="A7" s="1207" t="str">
        <f>IF(SUM(AD8:AD15)&gt;0,"Ошибка","")</f>
        <v/>
      </c>
      <c r="B7" s="87"/>
      <c r="C7" s="1208"/>
      <c r="D7" s="1209" t="s">
        <v>1435</v>
      </c>
      <c r="E7" s="1199"/>
      <c r="F7" s="1210"/>
      <c r="G7" s="1210"/>
      <c r="H7" s="1210"/>
      <c r="I7" s="1210"/>
      <c r="J7" s="1210"/>
      <c r="K7" s="1210"/>
      <c r="L7" s="1199"/>
      <c r="M7" s="87"/>
      <c r="N7" s="87"/>
      <c r="O7" s="1215">
        <f>SUM(O9,O12,O14)</f>
        <v>0</v>
      </c>
      <c r="P7" s="1215"/>
      <c r="Q7" s="1215"/>
      <c r="R7" s="1216" t="e">
        <f>O7/'Расчет базового уровня'!$D$35/0.86*1000</f>
        <v>#DIV/0!</v>
      </c>
      <c r="S7" s="1217" t="e">
        <f>R7</f>
        <v>#DIV/0!</v>
      </c>
      <c r="T7" s="1218"/>
      <c r="U7" s="1218"/>
      <c r="V7" s="1216" t="e">
        <f>(O7+P7)/'Расчет базового уровня'!$D$9/0.86*1000</f>
        <v>#DIV/0!</v>
      </c>
      <c r="W7" s="1219" t="e">
        <f>(S7*'Расчет базового уровня'!$D$35+'Список мероприятий'!U7*'Расчет базового уровня'!$D$15)/'Расчет базового уровня'!$D$9</f>
        <v>#DIV/0!</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25">
      <c r="A8" s="1221" t="str">
        <f>IF(OR(AND(AA8=0,AB8=1),AND(AA8=1,AB8=0)),"Ошибка","")</f>
        <v/>
      </c>
      <c r="B8" s="87"/>
      <c r="C8" s="1222"/>
      <c r="D8" s="1223" t="s">
        <v>1291</v>
      </c>
      <c r="E8" s="1624" t="s">
        <v>1879</v>
      </c>
      <c r="F8" s="1475" t="s">
        <v>1876</v>
      </c>
      <c r="G8" s="1475" t="s">
        <v>1317</v>
      </c>
      <c r="H8" s="1475" t="s">
        <v>1316</v>
      </c>
      <c r="I8" s="1475" t="s">
        <v>1316</v>
      </c>
      <c r="J8" s="1475" t="s">
        <v>1316</v>
      </c>
      <c r="K8" s="1475" t="s">
        <v>1316</v>
      </c>
      <c r="L8" s="1647"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25">
      <c r="A9" s="1221" t="str">
        <f>IF(OR(AND(AA9=0,AB9=1)),"Ошибка","")</f>
        <v/>
      </c>
      <c r="B9" s="87"/>
      <c r="C9" s="1222"/>
      <c r="D9" s="1225" t="s">
        <v>1679</v>
      </c>
      <c r="E9" s="1663"/>
      <c r="F9" s="1682">
        <f>'Расчет базового уровня'!B134</f>
        <v>0</v>
      </c>
      <c r="G9" s="1628"/>
      <c r="H9" s="1631">
        <f>I9+J9+K9</f>
        <v>0</v>
      </c>
      <c r="I9" s="1630"/>
      <c r="J9" s="1630">
        <f>IF(AB9=1,G9*F9,0)</f>
        <v>0</v>
      </c>
      <c r="K9" s="1630"/>
      <c r="L9" s="1648"/>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t="e">
        <f>O9/0.86*1000/'Расчет базового уровня'!$D$35</f>
        <v>#DIV/0!</v>
      </c>
      <c r="S9" s="1227" t="e">
        <f>R9</f>
        <v>#DIV/0!</v>
      </c>
      <c r="T9" s="1206"/>
      <c r="U9" s="1206"/>
      <c r="V9" s="1226" t="e">
        <f>(O9+P9)/0.86*1000/'Расчет базового уровня'!$D$9</f>
        <v>#DIV/0!</v>
      </c>
      <c r="W9" s="1228" t="e">
        <f>(S9*'Расчет базового уровня'!$D$35+'Список мероприятий'!U9*'Расчет базового уровня'!$D$15)/'Расчет базового уровня'!$D$9</f>
        <v>#DIV/0!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25">
      <c r="A10" s="1221" t="str">
        <f>IF(OR(AND(AA10=0,AB10=1),AND(AA10=1,AB10=0)),"Ошибка","")</f>
        <v/>
      </c>
      <c r="B10" s="87"/>
      <c r="C10" s="1222"/>
      <c r="D10" s="1296" t="s">
        <v>1269</v>
      </c>
      <c r="E10" s="1663"/>
      <c r="F10" s="1683"/>
      <c r="G10" s="1685"/>
      <c r="H10" s="1631"/>
      <c r="I10" s="1630"/>
      <c r="J10" s="1630"/>
      <c r="K10" s="1630"/>
      <c r="L10" s="1648"/>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25">
      <c r="A11" s="1221" t="str">
        <f>IF(OR(AND(AA11=0,AB11=1),AND(AA11=1,AB11=0)),"Ошибка","")</f>
        <v/>
      </c>
      <c r="B11" s="87"/>
      <c r="C11" s="1222"/>
      <c r="D11" s="1296" t="s">
        <v>1268</v>
      </c>
      <c r="E11" s="1663"/>
      <c r="F11" s="1684"/>
      <c r="G11" s="1629"/>
      <c r="H11" s="1631"/>
      <c r="I11" s="1630"/>
      <c r="J11" s="1630"/>
      <c r="K11" s="1630"/>
      <c r="L11" s="1649"/>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25">
      <c r="A12" s="1221" t="str">
        <f>IF(OR(AND(AA12=0,AB12=1)),"Ошибка","")</f>
        <v/>
      </c>
      <c r="B12" s="87"/>
      <c r="C12" s="1222"/>
      <c r="D12" s="1223" t="s">
        <v>1297</v>
      </c>
      <c r="E12" s="1625"/>
      <c r="F12" s="1293">
        <f>F9</f>
        <v>0</v>
      </c>
      <c r="G12" s="1292"/>
      <c r="H12" s="1294">
        <f>I12+J12+K12</f>
        <v>0</v>
      </c>
      <c r="I12" s="1292"/>
      <c r="J12" s="1516"/>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t="e">
        <f>O12/'Расчет базового уровня'!$D$35/0.86*1000</f>
        <v>#DIV/0!</v>
      </c>
      <c r="S12" s="1227" t="e">
        <f>R12</f>
        <v>#DIV/0!</v>
      </c>
      <c r="T12" s="1206"/>
      <c r="U12" s="1206"/>
      <c r="V12" s="1226" t="e">
        <f>(O12+P12)/'Расчет базового уровня'!$D$9/0.86*1000</f>
        <v>#DIV/0!</v>
      </c>
      <c r="W12" s="1228" t="e">
        <f>(S12*'Расчет базового уровня'!$D$35+'Список мероприятий'!U12*'Расчет базового уровня'!$D$15)/'Расчет базового уровня'!$D$9</f>
        <v>#DIV/0!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1</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25">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25">
      <c r="A14" s="1221" t="str">
        <f>IF(AND(AA14=0,AB14=1),"Ошибка","")</f>
        <v/>
      </c>
      <c r="B14" s="87"/>
      <c r="C14" s="1222"/>
      <c r="D14" s="1231" t="s">
        <v>1409</v>
      </c>
      <c r="E14" s="1624" t="s">
        <v>1877</v>
      </c>
      <c r="F14" s="1475" t="s">
        <v>1318</v>
      </c>
      <c r="G14" s="1475" t="s">
        <v>1317</v>
      </c>
      <c r="H14" s="1475" t="s">
        <v>1316</v>
      </c>
      <c r="I14" s="1475" t="s">
        <v>1316</v>
      </c>
      <c r="J14" s="1475" t="s">
        <v>1316</v>
      </c>
      <c r="K14" s="1475"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24"/>
      <c r="Q14" s="1224"/>
      <c r="R14" s="1226" t="e">
        <f>O14/'Расчет базового уровня'!$D$35/0.86*1000</f>
        <v>#DIV/0!</v>
      </c>
      <c r="S14" s="1227" t="e">
        <f>R14</f>
        <v>#DIV/0!</v>
      </c>
      <c r="T14" s="1206"/>
      <c r="U14" s="1206"/>
      <c r="V14" s="1228" t="e">
        <f>(O14+P14)/'Расчет базового уровня'!$D$9/0.86*1000</f>
        <v>#DIV/0!</v>
      </c>
      <c r="W14" s="1228" t="e">
        <f>(S14*'Расчет базового уровня'!$D$35+'Список мероприятий'!U14*'Расчет базового уровня'!$D$15)/'Расчет базового уровня'!$D$9</f>
        <v>#DIV/0!</v>
      </c>
      <c r="X14" s="1228"/>
      <c r="Y14" s="1228"/>
      <c r="Z14" s="87">
        <f>IF(AB14-H15=1,1,0)</f>
        <v>0</v>
      </c>
      <c r="AA14" s="1220">
        <f>IF('Ввод исходных данных'!$D$12&lt;2000,1,0)</f>
        <v>1</v>
      </c>
      <c r="AB14" s="1192">
        <f>IF(AC14=TRUE,1,0)</f>
        <v>0</v>
      </c>
      <c r="AC14" s="1193" t="b">
        <v>0</v>
      </c>
      <c r="AD14" s="1220">
        <f>IF(A14="ОШИБКА",1,0)</f>
        <v>0</v>
      </c>
      <c r="AE14" s="88" t="str">
        <f>IF(AB14=1,CONCATENATE(D14," - ",D15,CHAR(10)),"")</f>
        <v/>
      </c>
      <c r="AF14" s="87"/>
      <c r="AG14" s="87"/>
      <c r="AH14" s="87"/>
      <c r="AI14" s="87"/>
      <c r="AJ14" s="87"/>
      <c r="AK14" s="87"/>
      <c r="AL14" s="87"/>
      <c r="AM14" s="87"/>
      <c r="AN14" s="87"/>
      <c r="AO14" s="87"/>
      <c r="AP14" s="87"/>
      <c r="AQ14" s="87"/>
      <c r="AR14" s="87"/>
      <c r="AS14" s="87"/>
    </row>
    <row r="15" spans="1:45" ht="46.5" customHeight="1" x14ac:dyDescent="0.25">
      <c r="A15" s="1221" t="str">
        <f>IF(OR(AND(AA15=0,AB15=1),AND(AA15=1,AB15=0)),"Ошибка","")</f>
        <v/>
      </c>
      <c r="B15" s="87"/>
      <c r="C15" s="1222"/>
      <c r="D15" s="1298" t="s">
        <v>1271</v>
      </c>
      <c r="E15" s="1625"/>
      <c r="F15" s="1292">
        <f>'Ввод исходных данных'!G54</f>
        <v>0</v>
      </c>
      <c r="G15" s="1292"/>
      <c r="H15" s="1294">
        <f>I15+J15+K15</f>
        <v>0</v>
      </c>
      <c r="I15" s="1292"/>
      <c r="J15" s="1516">
        <f>IF(AB15=1,G15*F15,0)</f>
        <v>0</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0</v>
      </c>
      <c r="AB15" s="1192">
        <f>IF(D15&lt;&gt;списки!N32,1,0)</f>
        <v>0</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25">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5" customHeight="1" x14ac:dyDescent="0.25">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75" x14ac:dyDescent="0.25">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t="e">
        <f>O18/'Расчет базового уровня'!$D$35/0.86*1000</f>
        <v>#DIV/0!</v>
      </c>
      <c r="S18" s="1217" t="e">
        <f>R18</f>
        <v>#DIV/0!</v>
      </c>
      <c r="T18" s="1218"/>
      <c r="U18" s="1218"/>
      <c r="V18" s="1216" t="e">
        <f>(O18+P18)/'Расчет базового уровня'!$D$9/0.86*1000</f>
        <v>#DIV/0!</v>
      </c>
      <c r="W18" s="1219" t="e">
        <f>(S18*'Расчет базового уровня'!$D$35+'Список мероприятий'!U18*'Расчет базового уровня'!$D$15)/'Расчет базового уровня'!$D$9</f>
        <v>#DIV/0!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25">
      <c r="A19" s="1221" t="str">
        <f>IF(AND(AA19=0,AB19=1),"Ошибка","")</f>
        <v/>
      </c>
      <c r="B19" s="87"/>
      <c r="C19" s="1222"/>
      <c r="D19" s="1231"/>
      <c r="E19" s="1624" t="s">
        <v>1878</v>
      </c>
      <c r="F19" s="1475" t="s">
        <v>1876</v>
      </c>
      <c r="G19" s="1475" t="s">
        <v>1317</v>
      </c>
      <c r="H19" s="1475" t="s">
        <v>1316</v>
      </c>
      <c r="I19" s="1475" t="s">
        <v>1316</v>
      </c>
      <c r="J19" s="1475" t="s">
        <v>1316</v>
      </c>
      <c r="K19" s="1475" t="s">
        <v>1316</v>
      </c>
      <c r="L19" s="1644"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25">
      <c r="A20" s="1221" t="str">
        <f>IF(AND(AA20=0,AB20=1),"Ошибка","")</f>
        <v/>
      </c>
      <c r="B20" s="87"/>
      <c r="C20" s="1222"/>
      <c r="D20" s="1225" t="s">
        <v>1678</v>
      </c>
      <c r="E20" s="1663"/>
      <c r="F20" s="1638">
        <f>'Расчет базового уровня'!B138</f>
        <v>0</v>
      </c>
      <c r="G20" s="1639"/>
      <c r="H20" s="1631">
        <f>I20+J20+K20</f>
        <v>0</v>
      </c>
      <c r="I20" s="1639"/>
      <c r="J20" s="1630">
        <f>IF(AB20=1,G20*F20,0)</f>
        <v>0</v>
      </c>
      <c r="K20" s="1639"/>
      <c r="L20" s="1645"/>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t="e">
        <f>O20/'Расчет базового уровня'!$D$35/0.86*1000</f>
        <v>#DIV/0!</v>
      </c>
      <c r="S20" s="1227" t="e">
        <f>R20</f>
        <v>#DIV/0!</v>
      </c>
      <c r="T20" s="1206"/>
      <c r="U20" s="1206"/>
      <c r="V20" s="1226" t="e">
        <f>(O20+P20)/'Расчет базового уровня'!$D$9/0.86*1000</f>
        <v>#DIV/0!</v>
      </c>
      <c r="W20" s="1232" t="e">
        <f>(S20*'Расчет базового уровня'!$D$35+'Список мероприятий'!U20*'Расчет базового уровня'!$D$15)/'Расчет базового уровня'!$D$9</f>
        <v>#DIV/0!</v>
      </c>
      <c r="X20" s="1228"/>
      <c r="Y20" s="1228"/>
      <c r="Z20" s="87">
        <f>IF(AB20-H20=1,1,0)</f>
        <v>0</v>
      </c>
      <c r="AA20" s="1220">
        <f>IF(AND(списки!$D$30=0),1,0)</f>
        <v>1</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25">
      <c r="A21" s="1221" t="str">
        <f>IF(OR(AND(AA21=0,AB21=1),AND(AA21=1,AB21=0)),"Ошибка","")</f>
        <v/>
      </c>
      <c r="B21" s="87"/>
      <c r="C21" s="1222"/>
      <c r="D21" s="1297" t="s">
        <v>1269</v>
      </c>
      <c r="E21" s="1663"/>
      <c r="F21" s="1630"/>
      <c r="G21" s="1639"/>
      <c r="H21" s="1631"/>
      <c r="I21" s="1639"/>
      <c r="J21" s="1630"/>
      <c r="K21" s="1639"/>
      <c r="L21" s="1645"/>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25">
      <c r="A22" s="1221" t="str">
        <f>IF(OR(AND(AA22=0,AB22=1),AND(AA22=1,AB22=0)),"Ошибка","")</f>
        <v/>
      </c>
      <c r="B22" s="87"/>
      <c r="C22" s="1222"/>
      <c r="D22" s="1297" t="s">
        <v>1268</v>
      </c>
      <c r="E22" s="1625"/>
      <c r="F22" s="1630"/>
      <c r="G22" s="1639"/>
      <c r="H22" s="1631"/>
      <c r="I22" s="1639"/>
      <c r="J22" s="1630"/>
      <c r="K22" s="1639"/>
      <c r="L22" s="1646"/>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25">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25">
      <c r="A24" s="1221" t="str">
        <f>IF(AND(AA24=0,AB24=1),"Ошибка","")</f>
        <v/>
      </c>
      <c r="B24" s="87"/>
      <c r="C24" s="1222"/>
      <c r="D24" s="1234" t="s">
        <v>1292</v>
      </c>
      <c r="E24" s="1256" t="s">
        <v>1880</v>
      </c>
      <c r="F24" s="1476"/>
      <c r="G24" s="1476"/>
      <c r="H24" s="1294">
        <f>I24+J24+K24</f>
        <v>0</v>
      </c>
      <c r="I24" s="1292"/>
      <c r="J24" s="1516"/>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t="e">
        <f>O24/'Расчет базового уровня'!$D$35/0.86*1000</f>
        <v>#DIV/0!</v>
      </c>
      <c r="S24" s="1227" t="e">
        <f>R24</f>
        <v>#DIV/0!</v>
      </c>
      <c r="T24" s="1206"/>
      <c r="U24" s="1206"/>
      <c r="V24" s="1226" t="e">
        <f>(O24+P24)/'Расчет базового уровня'!$D$9/0.86*1000</f>
        <v>#DIV/0!</v>
      </c>
      <c r="W24" s="1228" t="e">
        <f>(S24*'Расчет базового уровня'!$D$35+'Список мероприятий'!U24*'Расчет базового уровня'!$D$15)/'Расчет базового уровня'!$D$9</f>
        <v>#DIV/0!</v>
      </c>
      <c r="X24" s="1228"/>
      <c r="Y24" s="1228"/>
      <c r="Z24" s="87">
        <f>IF(AB24-H24=1,1,0)</f>
        <v>0</v>
      </c>
      <c r="AA24" s="1220">
        <f>IF(AND('Ввод исходных данных'!$D$12&lt;2000,списки!$D$31=0,списки!$D$30=1),1,0)</f>
        <v>0</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25">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25">
      <c r="A26" s="1221" t="str">
        <f>IF(AND(AA26=0,AB26=1),"Ошибка","")</f>
        <v/>
      </c>
      <c r="B26" s="87"/>
      <c r="C26" s="1222"/>
      <c r="D26" s="1231" t="s">
        <v>1293</v>
      </c>
      <c r="E26" s="1624" t="s">
        <v>1880</v>
      </c>
      <c r="F26" s="1475" t="s">
        <v>1876</v>
      </c>
      <c r="G26" s="1475" t="s">
        <v>1317</v>
      </c>
      <c r="H26" s="1475" t="s">
        <v>1316</v>
      </c>
      <c r="I26" s="1475" t="s">
        <v>1316</v>
      </c>
      <c r="J26" s="1475" t="s">
        <v>1316</v>
      </c>
      <c r="K26" s="1475" t="s">
        <v>1316</v>
      </c>
      <c r="L26" s="1647"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25">
      <c r="A27" s="1221" t="str">
        <f>IF(AND(AA27=0,AB27=1),"Ошибка","")</f>
        <v/>
      </c>
      <c r="B27" s="87"/>
      <c r="C27" s="1222"/>
      <c r="D27" s="1225" t="s">
        <v>1437</v>
      </c>
      <c r="E27" s="1663"/>
      <c r="F27" s="1638">
        <f>'Расчет базового уровня'!B139+'Расчет базового уровня'!B140</f>
        <v>0</v>
      </c>
      <c r="G27" s="1638">
        <f>'Расчет базового уровня'!B139+'Расчет базового уровня'!B140</f>
        <v>0</v>
      </c>
      <c r="H27" s="1631">
        <f>I27+J27+K27</f>
        <v>0</v>
      </c>
      <c r="I27" s="1630"/>
      <c r="J27" s="1630">
        <f>IF(AB27=1,G27*F27,0)</f>
        <v>0</v>
      </c>
      <c r="K27" s="1630"/>
      <c r="L27" s="1648"/>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t="e">
        <f>O27/'Расчет базового уровня'!$D$35/0.86*1000</f>
        <v>#DIV/0!</v>
      </c>
      <c r="S27" s="1227" t="e">
        <f>R27</f>
        <v>#DIV/0!</v>
      </c>
      <c r="T27" s="1206"/>
      <c r="U27" s="1206"/>
      <c r="V27" s="1226" t="e">
        <f>(O27+P27)/'Расчет базового уровня'!$D$9/0.86*1000</f>
        <v>#DIV/0!</v>
      </c>
      <c r="W27" s="1228" t="e">
        <f>(S27*'Расчет базового уровня'!$D$35+'Список мероприятий'!U27*'Расчет базового уровня'!$D$15)/'Расчет базового уровня'!$D$9</f>
        <v>#DIV/0!</v>
      </c>
      <c r="X27" s="1228"/>
      <c r="Y27" s="1228"/>
      <c r="Z27" s="87">
        <f>IF(AB27-H27=1,1,0)</f>
        <v>0</v>
      </c>
      <c r="AA27" s="1220">
        <f>IF(AND(списки!$D$30=1,списки!$D$35=0),1,0)</f>
        <v>0</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25">
      <c r="A28" s="1221" t="str">
        <f>IF(OR(AND(AA28=0,AB28=1),AND(AA28=1,AB28=0)),"Ошибка","")</f>
        <v/>
      </c>
      <c r="B28" s="87"/>
      <c r="C28" s="1222"/>
      <c r="D28" s="1296" t="s">
        <v>1269</v>
      </c>
      <c r="E28" s="1663"/>
      <c r="F28" s="1630"/>
      <c r="G28" s="1630"/>
      <c r="H28" s="1631"/>
      <c r="I28" s="1630"/>
      <c r="J28" s="1630"/>
      <c r="K28" s="1630"/>
      <c r="L28" s="1648"/>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25">
      <c r="A29" s="1221" t="str">
        <f>IF(OR(AND(AA29=0,AB29=1),AND(AA29=1,AB29=0)),"Ошибка","")</f>
        <v/>
      </c>
      <c r="B29" s="87"/>
      <c r="C29" s="1222"/>
      <c r="D29" s="1296" t="s">
        <v>1268</v>
      </c>
      <c r="E29" s="1625"/>
      <c r="F29" s="1630"/>
      <c r="G29" s="1630"/>
      <c r="H29" s="1631"/>
      <c r="I29" s="1630"/>
      <c r="J29" s="1630"/>
      <c r="K29" s="1630"/>
      <c r="L29" s="1649"/>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25">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30" x14ac:dyDescent="0.25">
      <c r="A31" s="1237" t="str">
        <f>IF(SUM(AD32:AD35)&gt;0,"Ошибка","")</f>
        <v/>
      </c>
      <c r="B31" s="87"/>
      <c r="C31" s="1238"/>
      <c r="D31" s="1239" t="s">
        <v>1275</v>
      </c>
      <c r="E31" s="1238"/>
      <c r="F31" s="1475" t="s">
        <v>858</v>
      </c>
      <c r="G31" s="1475" t="s">
        <v>1317</v>
      </c>
      <c r="H31" s="1475" t="s">
        <v>1316</v>
      </c>
      <c r="I31" s="1475" t="s">
        <v>1316</v>
      </c>
      <c r="J31" s="1475" t="s">
        <v>1316</v>
      </c>
      <c r="K31" s="1475" t="s">
        <v>1316</v>
      </c>
      <c r="L31" s="1238"/>
      <c r="M31" s="87"/>
      <c r="N31" s="87"/>
      <c r="O31" s="1240"/>
      <c r="P31" s="1240"/>
      <c r="Q31" s="1240" t="e">
        <f>Q32</f>
        <v>#N/A</v>
      </c>
      <c r="R31" s="1241" t="e">
        <f>R32+R34+R35</f>
        <v>#VALUE!</v>
      </c>
      <c r="S31" s="1241" t="e">
        <f>S32+S34+S35</f>
        <v>#VALUE!</v>
      </c>
      <c r="T31" s="1242"/>
      <c r="U31" s="1241" t="e">
        <f>U32+U34+U35</f>
        <v>#DIV/0!</v>
      </c>
      <c r="V31" s="1242"/>
      <c r="W31" s="1241" t="e">
        <f>W32+W34+W35</f>
        <v>#VALUE!</v>
      </c>
      <c r="X31" s="1241" t="e">
        <f>X32</f>
        <v>#N/A</v>
      </c>
      <c r="Y31" s="1241" t="e">
        <f>Y32</f>
        <v>#N/A</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25">
      <c r="A32" s="1221" t="str">
        <f>IF(AND(AA32=0,AB32=1),"Ошибка","")</f>
        <v/>
      </c>
      <c r="B32" s="87"/>
      <c r="C32" s="1238"/>
      <c r="D32" s="1245" t="s">
        <v>1651</v>
      </c>
      <c r="E32" s="1664" t="s">
        <v>1881</v>
      </c>
      <c r="F32" s="1630"/>
      <c r="G32" s="1638"/>
      <c r="H32" s="1631">
        <f>I32+J32+K32</f>
        <v>0</v>
      </c>
      <c r="I32" s="1630"/>
      <c r="J32" s="1630">
        <f>IF(AB32=1,G32*F32,0)</f>
        <v>0</v>
      </c>
      <c r="K32" s="1630"/>
      <c r="L32" s="1666" t="s">
        <v>1645</v>
      </c>
      <c r="M32" s="87"/>
      <c r="N32" s="87"/>
      <c r="O32" s="1224" t="e">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#VALUE!</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0</v>
      </c>
      <c r="Q32" s="1224" t="e">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#N/A</v>
      </c>
      <c r="R32" s="1226" t="e">
        <f>O32/'Расчет базового уровня'!$D$35/0.86*1000</f>
        <v>#VALUE!</v>
      </c>
      <c r="S32" s="1227" t="e">
        <f>R32</f>
        <v>#VALUE!</v>
      </c>
      <c r="T32" s="1226" t="e">
        <f>IF('Система ГВС'!F3=2,0,P32/'Расчет базового уровня'!$D$85/0.86*1000)</f>
        <v>#DIV/0!</v>
      </c>
      <c r="U32" s="1227" t="e">
        <f>T32*(1-U39)</f>
        <v>#DIV/0!</v>
      </c>
      <c r="V32" s="1226" t="e">
        <f>(O32+P32)/'Расчет базового уровня'!$D$9/0.86*1000</f>
        <v>#VALUE!</v>
      </c>
      <c r="W32" s="1228" t="e">
        <f>(S32*'Расчет базового уровня'!$D$35+'Список мероприятий'!U32*'Расчет базового уровня'!$D$15)/'Расчет базового уровня'!$D$9</f>
        <v>#VALUE!</v>
      </c>
      <c r="X32" s="1226" t="e">
        <f>Q32/'Расчет базового уровня'!$D$100</f>
        <v>#N/A</v>
      </c>
      <c r="Y32" s="1228" t="e">
        <f>X32</f>
        <v>#N/A</v>
      </c>
      <c r="Z32" s="87">
        <f>IF(AB32-H32=1,1,0)</f>
        <v>1</v>
      </c>
      <c r="AA32" s="1220">
        <v>1</v>
      </c>
      <c r="AB32" s="1192">
        <f t="shared" ref="AB32:AB35" si="0">IF(AC32=TRUE,1,0)</f>
        <v>1</v>
      </c>
      <c r="AC32" s="1193" t="b">
        <v>1</v>
      </c>
      <c r="AD32" s="1220">
        <f>IF(A32="ОШИБКА",1,0)</f>
        <v>0</v>
      </c>
      <c r="AE32" s="88"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87"/>
      <c r="AG32" s="87"/>
      <c r="AH32" s="87"/>
      <c r="AI32" s="87"/>
      <c r="AJ32" s="87"/>
      <c r="AK32" s="87"/>
      <c r="AL32" s="87"/>
      <c r="AM32" s="87"/>
      <c r="AN32" s="87"/>
      <c r="AO32" s="87"/>
      <c r="AP32" s="87"/>
      <c r="AQ32" s="87"/>
      <c r="AR32" s="87"/>
      <c r="AS32" s="87"/>
    </row>
    <row r="33" spans="1:45" ht="61.5" customHeight="1" x14ac:dyDescent="0.25">
      <c r="A33" s="1221" t="str">
        <f>IF(AND(AB32=1,AB33=0),"Ошибка","")</f>
        <v/>
      </c>
      <c r="B33" s="87"/>
      <c r="C33" s="1528" t="str">
        <f>IF(AB32=1,"Выберите тип узла","")</f>
        <v>Выберите тип узла</v>
      </c>
      <c r="D33" s="1295" t="s">
        <v>1266</v>
      </c>
      <c r="E33" s="1665"/>
      <c r="F33" s="1630"/>
      <c r="G33" s="1630"/>
      <c r="H33" s="1631"/>
      <c r="I33" s="1630"/>
      <c r="J33" s="1630"/>
      <c r="K33" s="1630"/>
      <c r="L33" s="1636"/>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72" x14ac:dyDescent="0.25">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t="e">
        <f>IF('Система ГВС'!F3=2,0,P34/'Расчет базового уровня'!$D$85/0.86*1000)</f>
        <v>#DIV/0!</v>
      </c>
      <c r="U34" s="1227" t="e">
        <f>T34</f>
        <v>#DIV/0!</v>
      </c>
      <c r="V34" s="1226" t="e">
        <f>(O34+P34)/'Расчет базового уровня'!$D$9/0.86*1000</f>
        <v>#DIV/0!</v>
      </c>
      <c r="W34" s="1228" t="e">
        <f>(S34*'Расчет базового уровня'!$D$35+'Список мероприятий'!U34*'Расчет базового уровня'!$D$15)/'Расчет базового уровня'!$D$9</f>
        <v>#DIV/0!</v>
      </c>
      <c r="X34" s="1228"/>
      <c r="Y34" s="1228"/>
      <c r="Z34" s="87">
        <f>IF(AB34-H34=1,1,0)</f>
        <v>0</v>
      </c>
      <c r="AA34" s="1220">
        <f>IF(AND('Система ГВС'!$F$3=1,D33&lt;&gt;списки!N46,AB35=0),1,0)</f>
        <v>1</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25">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t="e">
        <f>IF('Система ГВС'!F3=2,0,P35/'Расчет базового уровня'!$D$85/0.86*1000)</f>
        <v>#DIV/0!</v>
      </c>
      <c r="U35" s="1227" t="e">
        <f>T35</f>
        <v>#DIV/0!</v>
      </c>
      <c r="V35" s="1226" t="e">
        <f>(O35+P35)/'Расчет базового уровня'!$D$9/0.86*1000</f>
        <v>#DIV/0!</v>
      </c>
      <c r="W35" s="1228" t="e">
        <f>(S35*'Расчет базового уровня'!$D$35+'Список мероприятий'!U35*'Расчет базового уровня'!$D$15)/'Расчет базового уровня'!$D$9</f>
        <v>#DIV/0!</v>
      </c>
      <c r="X35" s="1228"/>
      <c r="Y35" s="1228"/>
      <c r="Z35" s="87">
        <f>IF(AB35-H35=1,1,0)</f>
        <v>0</v>
      </c>
      <c r="AA35" s="1220">
        <f>IF(AND('Система ГВС'!$F$3=1,D33&lt;&gt;списки!N46,'Список мероприятий'!AB34=0),1,0)</f>
        <v>1</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25">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t="e">
        <f>S37+S38+S39</f>
        <v>#DIV/0!</v>
      </c>
      <c r="T36" s="1242"/>
      <c r="U36" s="1252" t="e">
        <f>U37+U38+U39</f>
        <v>#DIV/0!</v>
      </c>
      <c r="V36" s="1242"/>
      <c r="W36" s="1252" t="e">
        <f>W37+W38+W39</f>
        <v>#DIV/0!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25">
      <c r="A37" s="1221" t="str">
        <f>IF(AND(AA37=0,AB37=1),"Ошибка","")</f>
        <v/>
      </c>
      <c r="B37" s="87"/>
      <c r="C37" s="1238"/>
      <c r="D37" s="1253" t="s">
        <v>1298</v>
      </c>
      <c r="E37" s="1247" t="s">
        <v>1885</v>
      </c>
      <c r="F37" s="1293"/>
      <c r="G37" s="1292"/>
      <c r="H37" s="1477">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t="e">
        <f>O37/'Расчет базового уровня'!$D$35/0.86*1000</f>
        <v>#DIV/0!</v>
      </c>
      <c r="S37" s="1228" t="e">
        <f>R37*(1-R31-S18-S7-S60-S71)</f>
        <v>#DIV/0!</v>
      </c>
      <c r="T37" s="1206"/>
      <c r="U37" s="1206"/>
      <c r="V37" s="1226" t="e">
        <f>(O37+P37)/'Расчет базового уровня'!$D$9/0.86*1000</f>
        <v>#DIV/0!</v>
      </c>
      <c r="W37" s="1228" t="e">
        <f>(S37*'Расчет базового уровня'!$D$35+'Список мероприятий'!U37*'Расчет базового уровня'!$D$15)/'Расчет базового уровня'!$D$9</f>
        <v>#DIV/0!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5" customHeight="1" x14ac:dyDescent="0.25">
      <c r="A38" s="1221" t="str">
        <f>IF(AND(AA38=0,AB38=1),"Ошибка","")</f>
        <v/>
      </c>
      <c r="B38" s="87"/>
      <c r="C38" s="1238"/>
      <c r="D38" s="1255" t="s">
        <v>1299</v>
      </c>
      <c r="E38" s="1247" t="s">
        <v>1886</v>
      </c>
      <c r="F38" s="1292"/>
      <c r="G38" s="1292"/>
      <c r="H38" s="1477">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t="e">
        <f>IF('Система ГВС'!F3=2,0,P38/'Расчет базового уровня'!$D$85/0.86*1000)</f>
        <v>#DIV/0!</v>
      </c>
      <c r="U38" s="1226" t="e">
        <f>IF('Система ГВС'!F3=2,0,T38*(1-T32-T39))</f>
        <v>#DIV/0!</v>
      </c>
      <c r="V38" s="1226" t="e">
        <f>(O38+P38)/'Расчет базового уровня'!$D$9/0.86*1000</f>
        <v>#DIV/0!</v>
      </c>
      <c r="W38" s="1228" t="e">
        <f>(S38*'Расчет базового уровня'!$D$35+'Список мероприятий'!U38*'Расчет базового уровня'!$D$15)/'Расчет базового уровня'!$D$9</f>
        <v>#DIV/0!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25">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t="e">
        <f>IF('Система ГВС'!F3=2,0,P39/'Расчет базового уровня'!$D$85/0.86*1000)</f>
        <v>#DIV/0!</v>
      </c>
      <c r="U39" s="1226" t="e">
        <f>T39</f>
        <v>#DIV/0!</v>
      </c>
      <c r="V39" s="1226" t="e">
        <f>(O39+P39)/'Расчет базового уровня'!$D$9/0.86*1000</f>
        <v>#DIV/0!</v>
      </c>
      <c r="W39" s="1228" t="e">
        <f>(S39*'Расчет базового уровня'!$D$35+'Список мероприятий'!U39*'Расчет базового уровня'!$D$15)/'Расчет базового уровня'!$D$9</f>
        <v>#DIV/0!</v>
      </c>
      <c r="X39" s="1228"/>
      <c r="Y39" s="1228"/>
      <c r="Z39" s="87">
        <f>IF(AB39-H39=1,1,0)</f>
        <v>0</v>
      </c>
      <c r="AA39" s="1220">
        <f>IF(AND('Система ГВС'!$F$3=1,'Система ГВС'!F17=0),1,0)</f>
        <v>1</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25">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25">
      <c r="A41" s="1257"/>
      <c r="B41" s="87"/>
      <c r="C41" s="1238"/>
      <c r="D41" s="1290">
        <f>'Ввод исходных данных'!G48+'Серии планировка'!AB75</f>
        <v>0</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25">
      <c r="A42" s="1259" t="str">
        <f>IF(AND(AA42=0,AB42=1),"Ошибка","")</f>
        <v/>
      </c>
      <c r="B42" s="87"/>
      <c r="C42" s="1238"/>
      <c r="D42" s="1231" t="s">
        <v>1276</v>
      </c>
      <c r="E42" s="1478" t="s">
        <v>1884</v>
      </c>
      <c r="F42" s="1292"/>
      <c r="G42" s="1292"/>
      <c r="H42" s="1294">
        <f>I42+J42+K42</f>
        <v>0</v>
      </c>
      <c r="I42" s="1292"/>
      <c r="J42" s="1292"/>
      <c r="K42" s="1292"/>
      <c r="L42" s="1620" t="s">
        <v>1911</v>
      </c>
      <c r="M42" s="87"/>
      <c r="N42" s="87"/>
      <c r="O42" s="1224"/>
      <c r="P42" s="1224"/>
      <c r="Q42" s="1224"/>
      <c r="R42" s="1206"/>
      <c r="S42" s="1206"/>
      <c r="T42" s="1206"/>
      <c r="U42" s="1206"/>
      <c r="V42" s="1206"/>
      <c r="W42" s="1206"/>
      <c r="X42" s="1206"/>
      <c r="Y42" s="1227" t="e">
        <f>SUM(Y43:Y45)</f>
        <v>#DIV/0!</v>
      </c>
      <c r="Z42" s="87"/>
      <c r="AA42" s="1220">
        <f>IF(SUM(AA43:AA45)&gt;0,1,0)</f>
        <v>0</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25">
      <c r="A43" s="1259" t="str">
        <f>IF(AND(AA43=0,AB43=1),"Ошибка","")</f>
        <v/>
      </c>
      <c r="B43" s="87"/>
      <c r="C43" s="1260"/>
      <c r="D43" s="1261" t="s">
        <v>1358</v>
      </c>
      <c r="E43" s="1262"/>
      <c r="F43" s="1292"/>
      <c r="G43" s="1292"/>
      <c r="H43" s="1529">
        <f t="shared" ref="H43:H45" si="1">I43+J43+K43</f>
        <v>0</v>
      </c>
      <c r="I43" s="1292"/>
      <c r="J43" s="1292"/>
      <c r="K43" s="1292"/>
      <c r="L43" s="1621"/>
      <c r="M43" s="87"/>
      <c r="N43" s="87"/>
      <c r="O43" s="1224"/>
      <c r="P43" s="1224"/>
      <c r="Q43" s="1206">
        <f>IF(AB43=1,'Расчет после реализации'!$D$108/(IF($AB$52=1,0.9572,1))-'Расчет после реализации'!$C$108,0)</f>
        <v>0</v>
      </c>
      <c r="R43" s="1206"/>
      <c r="S43" s="1206"/>
      <c r="T43" s="1206"/>
      <c r="U43" s="1206"/>
      <c r="V43" s="1206"/>
      <c r="W43" s="1206"/>
      <c r="X43" s="1226" t="e">
        <f>Q43/'Расчет базового уровня'!$D$100</f>
        <v>#DIV/0!</v>
      </c>
      <c r="Y43" s="1227" t="e">
        <f>X43</f>
        <v>#DIV/0!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25">
      <c r="A44" s="1259" t="str">
        <f>IF(AND(AA44=0,AB44=1),"Ошибка","")</f>
        <v/>
      </c>
      <c r="B44" s="87"/>
      <c r="C44" s="1260"/>
      <c r="D44" s="1261" t="s">
        <v>541</v>
      </c>
      <c r="E44" s="1262"/>
      <c r="F44" s="1292"/>
      <c r="G44" s="1292"/>
      <c r="H44" s="1529">
        <f t="shared" si="1"/>
        <v>0</v>
      </c>
      <c r="I44" s="1292"/>
      <c r="J44" s="1292"/>
      <c r="K44" s="1292"/>
      <c r="L44" s="1621"/>
      <c r="M44" s="87"/>
      <c r="N44" s="87"/>
      <c r="O44" s="1224"/>
      <c r="P44" s="1224"/>
      <c r="Q44" s="1206">
        <f>IF(AB44=1,'Расчет после реализации'!$D$109/(IF($AB$52=1,0.9572,1))-'Расчет после реализации'!$C$109,0)</f>
        <v>0</v>
      </c>
      <c r="R44" s="1206"/>
      <c r="S44" s="1206"/>
      <c r="T44" s="1206"/>
      <c r="U44" s="1206"/>
      <c r="V44" s="1206"/>
      <c r="W44" s="1206"/>
      <c r="X44" s="1226" t="e">
        <f>Q44/'Расчет базового уровня'!$D$100</f>
        <v>#DIV/0!</v>
      </c>
      <c r="Y44" s="1227" t="e">
        <f t="shared" ref="Y44:Y45" si="2">X44</f>
        <v>#DIV/0!</v>
      </c>
      <c r="Z44" s="87">
        <f>IF(AB44-H44=1,1,0)</f>
        <v>0</v>
      </c>
      <c r="AA44" s="87">
        <f>IF(AND('Ввод исходных данных'!D147&gt;0,AB49=0),1,0)</f>
        <v>0</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25">
      <c r="A45" s="1259" t="str">
        <f>IF(AND(AA45=0,AB45=1),"Ошибка","")</f>
        <v/>
      </c>
      <c r="B45" s="87"/>
      <c r="C45" s="1260"/>
      <c r="D45" s="1261" t="s">
        <v>1359</v>
      </c>
      <c r="E45" s="1262"/>
      <c r="F45" s="1292"/>
      <c r="G45" s="1292"/>
      <c r="H45" s="1529">
        <f t="shared" si="1"/>
        <v>0</v>
      </c>
      <c r="I45" s="1292"/>
      <c r="J45" s="1292"/>
      <c r="K45" s="1292"/>
      <c r="L45" s="1622"/>
      <c r="M45" s="87"/>
      <c r="N45" s="87"/>
      <c r="O45" s="1224"/>
      <c r="P45" s="1224"/>
      <c r="Q45" s="1206">
        <f>IF(AB45=1,'Расчет после реализации'!$D$110/(IF($AB$52=1,0.9572,1))-'Расчет после реализации'!$C$110,0)</f>
        <v>0</v>
      </c>
      <c r="R45" s="1206"/>
      <c r="S45" s="1206"/>
      <c r="T45" s="1206"/>
      <c r="U45" s="1206"/>
      <c r="V45" s="1206"/>
      <c r="W45" s="1206"/>
      <c r="X45" s="1226" t="e">
        <f>Q45/'Расчет базового уровня'!$D$100</f>
        <v>#DIV/0!</v>
      </c>
      <c r="Y45" s="1227" t="e">
        <f t="shared" si="2"/>
        <v>#DIV/0!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25">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60" x14ac:dyDescent="0.25">
      <c r="A47" s="1259" t="str">
        <f>IF(AND(AA47=0,AB47=1),"Ошибка","")</f>
        <v/>
      </c>
      <c r="B47" s="87"/>
      <c r="C47" s="1238"/>
      <c r="D47" s="1263" t="s">
        <v>1391</v>
      </c>
      <c r="E47" s="1478" t="s">
        <v>1884</v>
      </c>
      <c r="F47" s="1292"/>
      <c r="G47" s="1292"/>
      <c r="H47" s="1529">
        <f t="shared" ref="H47:H50" si="4">I47+J47+K47</f>
        <v>0</v>
      </c>
      <c r="I47" s="1292"/>
      <c r="J47" s="1292"/>
      <c r="K47" s="1292"/>
      <c r="L47" s="1650" t="s">
        <v>1912</v>
      </c>
      <c r="M47" s="87"/>
      <c r="N47" s="87"/>
      <c r="O47" s="1224"/>
      <c r="P47" s="1224"/>
      <c r="Q47" s="1224"/>
      <c r="R47" s="1206"/>
      <c r="S47" s="1206"/>
      <c r="T47" s="1206"/>
      <c r="U47" s="1206"/>
      <c r="V47" s="1206"/>
      <c r="W47" s="1206"/>
      <c r="X47" s="1206"/>
      <c r="Y47" s="1227" t="e">
        <f>SUM(Y48:Y50)</f>
        <v>#DIV/0!</v>
      </c>
      <c r="Z47" s="87"/>
      <c r="AA47" s="1220">
        <f>IF(SUM(AA48:AA50)&gt;0,1,0)</f>
        <v>0</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25">
      <c r="A48" s="1259" t="str">
        <f>IF(AND(AA48=0,AB48=1),"Ошибка","")</f>
        <v/>
      </c>
      <c r="B48" s="87"/>
      <c r="C48" s="1260"/>
      <c r="D48" s="1261" t="s">
        <v>1358</v>
      </c>
      <c r="E48" s="1262"/>
      <c r="F48" s="1292"/>
      <c r="G48" s="1292"/>
      <c r="H48" s="1529">
        <f t="shared" si="4"/>
        <v>0</v>
      </c>
      <c r="I48" s="1292"/>
      <c r="J48" s="1292"/>
      <c r="K48" s="1292"/>
      <c r="L48" s="1651"/>
      <c r="M48" s="87"/>
      <c r="N48" s="87"/>
      <c r="O48" s="1206"/>
      <c r="P48" s="1206"/>
      <c r="Q48" s="1206">
        <f>IF(AB48=1,'Расчет после реализации'!$D$108/(IF($AB$52=1,0.9572,1))-'Расчет после реализации'!$C$108,0)</f>
        <v>0</v>
      </c>
      <c r="R48" s="1206"/>
      <c r="S48" s="1206"/>
      <c r="T48" s="1206"/>
      <c r="U48" s="1206"/>
      <c r="V48" s="1206"/>
      <c r="W48" s="1206"/>
      <c r="X48" s="1226" t="e">
        <f>Q48/'Расчет базового уровня'!$D$100</f>
        <v>#DIV/0!</v>
      </c>
      <c r="Y48" s="1227" t="e">
        <f>X48</f>
        <v>#DIV/0!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25">
      <c r="A49" s="1259" t="str">
        <f>IF(AND(AA49=0,AB49=1),"Ошибка","")</f>
        <v/>
      </c>
      <c r="B49" s="87"/>
      <c r="C49" s="1260"/>
      <c r="D49" s="1261" t="s">
        <v>541</v>
      </c>
      <c r="E49" s="1262"/>
      <c r="F49" s="1292"/>
      <c r="G49" s="1292"/>
      <c r="H49" s="1529">
        <f t="shared" si="4"/>
        <v>0</v>
      </c>
      <c r="I49" s="1292"/>
      <c r="J49" s="1292"/>
      <c r="K49" s="1292"/>
      <c r="L49" s="1651"/>
      <c r="M49" s="87"/>
      <c r="N49" s="87"/>
      <c r="O49" s="1206"/>
      <c r="P49" s="1206"/>
      <c r="Q49" s="1206">
        <f>IF(AB49=1,'Расчет после реализации'!$D$109/(IF($AB$52=1,0.9572,1))-'Расчет после реализации'!$C$109,0)</f>
        <v>0</v>
      </c>
      <c r="R49" s="1206"/>
      <c r="S49" s="1206"/>
      <c r="T49" s="1206"/>
      <c r="U49" s="1206"/>
      <c r="V49" s="1206"/>
      <c r="W49" s="1206"/>
      <c r="X49" s="1226" t="e">
        <f>Q49/'Расчет базового уровня'!$D$100</f>
        <v>#DIV/0!</v>
      </c>
      <c r="Y49" s="1227" t="e">
        <f t="shared" ref="Y49:Y50" si="5">X49</f>
        <v>#DIV/0!</v>
      </c>
      <c r="Z49" s="87">
        <f>IF(AB49-H49=1,1,0)</f>
        <v>0</v>
      </c>
      <c r="AA49" s="87">
        <f>IF(AND('Ввод исходных данных'!D147&gt;0,AB44=0),1,0)</f>
        <v>0</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25">
      <c r="A50" s="1259" t="str">
        <f>IF(AND(AA50=0,AB50=1),"Ошибка","")</f>
        <v/>
      </c>
      <c r="B50" s="87"/>
      <c r="C50" s="1260"/>
      <c r="D50" s="1261" t="s">
        <v>1359</v>
      </c>
      <c r="E50" s="1262"/>
      <c r="F50" s="1292"/>
      <c r="G50" s="1292"/>
      <c r="H50" s="1529">
        <f t="shared" si="4"/>
        <v>0</v>
      </c>
      <c r="I50" s="1292"/>
      <c r="J50" s="1292"/>
      <c r="K50" s="1292"/>
      <c r="L50" s="1652"/>
      <c r="M50" s="87"/>
      <c r="N50" s="87"/>
      <c r="O50" s="1206"/>
      <c r="P50" s="1206"/>
      <c r="Q50" s="1206">
        <f>IF(AB50=1,'Расчет после реализации'!$D$110/(IF($AB$52=1,0.9572,1))-'Расчет после реализации'!$C$110,0)</f>
        <v>0</v>
      </c>
      <c r="R50" s="1206"/>
      <c r="S50" s="1206"/>
      <c r="T50" s="1206"/>
      <c r="U50" s="1206"/>
      <c r="V50" s="1206"/>
      <c r="W50" s="1206"/>
      <c r="X50" s="1226" t="e">
        <f>Q50/'Расчет базового уровня'!$D$100</f>
        <v>#DIV/0!</v>
      </c>
      <c r="Y50" s="1227" t="e">
        <f t="shared" si="5"/>
        <v>#DIV/0!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25">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30" x14ac:dyDescent="0.25">
      <c r="A52" s="1259"/>
      <c r="B52" s="87"/>
      <c r="C52" s="1238"/>
      <c r="D52" s="1264" t="s">
        <v>1500</v>
      </c>
      <c r="E52" s="1247" t="s">
        <v>1305</v>
      </c>
      <c r="F52" s="1292"/>
      <c r="G52" s="1292"/>
      <c r="H52" s="1529">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t="e">
        <f>Q52/'Расчет базового уровня'!$D$100</f>
        <v>#DIV/0!</v>
      </c>
      <c r="Y52" s="1226" t="e">
        <f>(1-Y48-Y49-Y50)*X52</f>
        <v>#DIV/0!</v>
      </c>
      <c r="Z52" s="87">
        <f>IF(AB52-H52=1,1,0)</f>
        <v>0</v>
      </c>
      <c r="AA52" s="1220">
        <f>IF(AND('Ввод исходных данных'!D143+'Ввод исходных данных'!D147+'Ввод исходных данных'!D151&gt;0),1,0)</f>
        <v>0</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25">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75" x14ac:dyDescent="0.25">
      <c r="A54" s="1265" t="str">
        <f>IF(SUM(AD55:AD58)&gt;0,"Ошибка","")</f>
        <v/>
      </c>
      <c r="B54" s="87"/>
      <c r="C54" s="1266"/>
      <c r="D54" s="1481"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t="e">
        <f>Y55+Y56+Y58</f>
        <v>#DIV/0!</v>
      </c>
      <c r="Z54" s="87"/>
      <c r="AA54" s="1266"/>
      <c r="AB54" s="1196"/>
      <c r="AC54" s="1197"/>
      <c r="AD54" s="1266"/>
      <c r="AF54" s="87"/>
      <c r="AG54" s="87"/>
      <c r="AH54" s="87"/>
      <c r="AI54" s="87"/>
      <c r="AJ54" s="87"/>
      <c r="AK54" s="87"/>
      <c r="AL54" s="87"/>
      <c r="AM54" s="87"/>
      <c r="AN54" s="87"/>
      <c r="AO54" s="87"/>
      <c r="AP54" s="87"/>
      <c r="AQ54" s="87"/>
      <c r="AR54" s="87"/>
      <c r="AS54" s="87"/>
    </row>
    <row r="55" spans="1:45" ht="47.45" customHeight="1" x14ac:dyDescent="0.25">
      <c r="A55" s="1259" t="str">
        <f>IF(AND(AA55=0,AB55=1),"Ошибка","")</f>
        <v/>
      </c>
      <c r="B55" s="87"/>
      <c r="C55" s="1266"/>
      <c r="D55" s="1264" t="s">
        <v>1441</v>
      </c>
      <c r="E55" s="1624" t="s">
        <v>1887</v>
      </c>
      <c r="F55" s="1299"/>
      <c r="G55" s="1299"/>
      <c r="H55" s="1529">
        <f>I55+J55+K55</f>
        <v>0</v>
      </c>
      <c r="I55" s="1299"/>
      <c r="J55" s="1299"/>
      <c r="K55" s="1299"/>
      <c r="L55" s="1634"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t="e">
        <f>Q55/'Расчет базового уровня'!$D$100</f>
        <v>#DIV/0!</v>
      </c>
      <c r="Y55" s="1226" t="e">
        <f>X55</f>
        <v>#DIV/0!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25">
      <c r="A56" s="1259" t="str">
        <f>IF(AND(AA56=0,AB56=1),"Ошибка","")</f>
        <v/>
      </c>
      <c r="B56" s="87"/>
      <c r="C56" s="1266"/>
      <c r="D56" s="1264" t="s">
        <v>1442</v>
      </c>
      <c r="E56" s="1625"/>
      <c r="F56" s="1628"/>
      <c r="G56" s="1628"/>
      <c r="H56" s="1632">
        <f>I56+J56+K56</f>
        <v>0</v>
      </c>
      <c r="I56" s="1628"/>
      <c r="J56" s="1628"/>
      <c r="K56" s="1628"/>
      <c r="L56" s="1662"/>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t="e">
        <f>Q56/'Расчет базового уровня'!$D$100</f>
        <v>#DIV/0!</v>
      </c>
      <c r="Y56" s="1226" t="e">
        <f>X56</f>
        <v>#DIV/0!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25">
      <c r="A57" s="1259"/>
      <c r="B57" s="87"/>
      <c r="C57" s="1479" t="s">
        <v>1894</v>
      </c>
      <c r="D57" s="1480"/>
      <c r="E57" s="1262" t="s">
        <v>1913</v>
      </c>
      <c r="F57" s="1629"/>
      <c r="G57" s="1629"/>
      <c r="H57" s="1633"/>
      <c r="I57" s="1629"/>
      <c r="J57" s="1629"/>
      <c r="K57" s="1629"/>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30" x14ac:dyDescent="0.25">
      <c r="A58" s="1259"/>
      <c r="B58" s="87"/>
      <c r="C58" s="1266"/>
      <c r="D58" s="1264" t="s">
        <v>1888</v>
      </c>
      <c r="E58" s="1247" t="s">
        <v>1305</v>
      </c>
      <c r="F58" s="1291"/>
      <c r="G58" s="1291"/>
      <c r="H58" s="1529">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t="e">
        <f>Q58/'Расчет базового уровня'!$D$100</f>
        <v>#DIV/0!</v>
      </c>
      <c r="Y58" s="1226" t="e">
        <f>(1-Y55-Y56)*X58</f>
        <v>#DIV/0!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25">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75" x14ac:dyDescent="0.25">
      <c r="A60" s="1207" t="str">
        <f>IF(SUM(AD62:AD70)&gt;0,"Ошибка","")</f>
        <v/>
      </c>
      <c r="B60" s="87"/>
      <c r="C60" s="1208"/>
      <c r="D60" s="1209" t="s">
        <v>1461</v>
      </c>
      <c r="E60" s="1199"/>
      <c r="F60" s="1210"/>
      <c r="G60" s="1210"/>
      <c r="H60" s="1210"/>
      <c r="I60" s="1210"/>
      <c r="J60" s="1210"/>
      <c r="K60" s="1210"/>
      <c r="L60" s="1199"/>
      <c r="M60" s="87"/>
      <c r="N60" s="87"/>
      <c r="O60" s="1215">
        <f>O62+O67</f>
        <v>0</v>
      </c>
      <c r="P60" s="1215"/>
      <c r="Q60" s="1215"/>
      <c r="R60" s="1216" t="e">
        <f>O60/'Расчет базового уровня'!$D$35/0.86*1000</f>
        <v>#DIV/0!</v>
      </c>
      <c r="S60" s="1217" t="e">
        <f>R60</f>
        <v>#DIV/0!</v>
      </c>
      <c r="T60" s="1218"/>
      <c r="U60" s="1218"/>
      <c r="V60" s="1216" t="e">
        <f>(O60+P60)/'Расчет базового уровня'!$D$9/0.86*1000</f>
        <v>#DIV/0!</v>
      </c>
      <c r="W60" s="1219" t="e">
        <f>(S60*'Расчет базового уровня'!$D$35+'Список мероприятий'!U60*'Расчет базового уровня'!$D$15)/'Расчет базового уровня'!$D$9</f>
        <v>#DIV/0!</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25">
      <c r="A61" s="1221" t="str">
        <f>IF(AND(AA61=0,AB61=1),"Ошибка","")</f>
        <v/>
      </c>
      <c r="B61" s="87"/>
      <c r="C61" s="1222"/>
      <c r="D61" s="1231" t="s">
        <v>1294</v>
      </c>
      <c r="E61" s="1624" t="s">
        <v>1889</v>
      </c>
      <c r="F61" s="1475" t="s">
        <v>1876</v>
      </c>
      <c r="G61" s="1475" t="s">
        <v>1317</v>
      </c>
      <c r="H61" s="1475" t="s">
        <v>1316</v>
      </c>
      <c r="I61" s="1475" t="s">
        <v>1316</v>
      </c>
      <c r="J61" s="1475" t="s">
        <v>1316</v>
      </c>
      <c r="K61" s="1475" t="s">
        <v>1316</v>
      </c>
      <c r="L61" s="1634"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25">
      <c r="A62" s="1221" t="str">
        <f>IF(AND(AA62=0,AB62=1),"Ошибка","")</f>
        <v/>
      </c>
      <c r="B62" s="87"/>
      <c r="C62" s="1222"/>
      <c r="D62" s="1225" t="s">
        <v>1440</v>
      </c>
      <c r="E62" s="1663"/>
      <c r="F62" s="1638">
        <f>'Расчет базового уровня'!B141</f>
        <v>0</v>
      </c>
      <c r="G62" s="1638">
        <f>'Расчет базового уровня'!B141</f>
        <v>0</v>
      </c>
      <c r="H62" s="1631">
        <f>I62+J62+K62</f>
        <v>0</v>
      </c>
      <c r="I62" s="1630"/>
      <c r="J62" s="1630">
        <f>IF(AB62=1,G62*F62,0)</f>
        <v>0</v>
      </c>
      <c r="K62" s="1630"/>
      <c r="L62" s="1635"/>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t="e">
        <f>O62/'Расчет базового уровня'!$D$35/0.86*1000</f>
        <v>#DIV/0!</v>
      </c>
      <c r="S62" s="1227" t="e">
        <f>R62</f>
        <v>#DIV/0!</v>
      </c>
      <c r="T62" s="1206"/>
      <c r="U62" s="1206"/>
      <c r="V62" s="1226" t="e">
        <f>(O62+P62)/'Расчет базового уровня'!$D$9/0.86*1000</f>
        <v>#DIV/0!</v>
      </c>
      <c r="W62" s="1228" t="e">
        <f>(S62*'Расчет базового уровня'!$D$35+'Список мероприятий'!U62*'Расчет базового уровня'!$D$15)/'Расчет базового уровня'!$D$9</f>
        <v>#DIV/0!</v>
      </c>
      <c r="X62" s="1228"/>
      <c r="Y62" s="1228"/>
      <c r="Z62" s="87">
        <f>IF(AB62-H62=1,1,0)</f>
        <v>0</v>
      </c>
      <c r="AA62" s="1220">
        <f>IF(OR(AND('Ввод исходных данных'!$D$12&lt;2000,списки!$D$32=0),AND('Ввод исходных данных'!$D$12&lt;2000,списки!$D$32=1,списки!$D$33=1)),1,0)</f>
        <v>1</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25">
      <c r="A63" s="1221" t="str">
        <f>IF(OR(AND(AA63=0,AB63=1),AND(AA63=1,AB63=0)),"Ошибка","")</f>
        <v/>
      </c>
      <c r="B63" s="87"/>
      <c r="C63" s="1222"/>
      <c r="D63" s="1296" t="s">
        <v>1269</v>
      </c>
      <c r="E63" s="1663"/>
      <c r="F63" s="1630"/>
      <c r="G63" s="1630"/>
      <c r="H63" s="1631"/>
      <c r="I63" s="1630"/>
      <c r="J63" s="1630"/>
      <c r="K63" s="1630"/>
      <c r="L63" s="1635"/>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25">
      <c r="A64" s="1221" t="str">
        <f>IF(OR(AND(AA64=0,AB64=1),AND(AA64=1,AB64=0)),"Ошибка","")</f>
        <v/>
      </c>
      <c r="B64" s="87"/>
      <c r="C64" s="1222"/>
      <c r="D64" s="1296" t="s">
        <v>1268</v>
      </c>
      <c r="E64" s="1625"/>
      <c r="F64" s="1630"/>
      <c r="G64" s="1630"/>
      <c r="H64" s="1631"/>
      <c r="I64" s="1630"/>
      <c r="J64" s="1630"/>
      <c r="K64" s="1630"/>
      <c r="L64" s="1636"/>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25">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25">
      <c r="A66" s="1221" t="str">
        <f>IF(AND(AA66=0,AB66=1),"Ошибка","")</f>
        <v/>
      </c>
      <c r="B66" s="87"/>
      <c r="C66" s="1222"/>
      <c r="D66" s="1223" t="s">
        <v>1295</v>
      </c>
      <c r="E66" s="1624" t="s">
        <v>1272</v>
      </c>
      <c r="F66" s="1475" t="s">
        <v>1876</v>
      </c>
      <c r="G66" s="1475" t="s">
        <v>1317</v>
      </c>
      <c r="H66" s="1475" t="s">
        <v>1316</v>
      </c>
      <c r="I66" s="1475" t="s">
        <v>1316</v>
      </c>
      <c r="J66" s="1475" t="s">
        <v>1316</v>
      </c>
      <c r="K66" s="1475" t="s">
        <v>1316</v>
      </c>
      <c r="L66" s="1634"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25">
      <c r="A67" s="1221" t="str">
        <f>IF(AND(AA67=0,AB67=1),"Ошибка","")</f>
        <v/>
      </c>
      <c r="B67" s="87"/>
      <c r="C67" s="1222"/>
      <c r="D67" s="1233" t="s">
        <v>1677</v>
      </c>
      <c r="E67" s="1663"/>
      <c r="F67" s="1638">
        <f>'Расчет базового уровня'!B142</f>
        <v>0</v>
      </c>
      <c r="G67" s="1638">
        <f>'Расчет базового уровня'!B142</f>
        <v>0</v>
      </c>
      <c r="H67" s="1631">
        <f>I67+J67+K67</f>
        <v>0</v>
      </c>
      <c r="I67" s="1630"/>
      <c r="J67" s="1630">
        <f>IF(AB67=1,G67*F67,0)</f>
        <v>0</v>
      </c>
      <c r="K67" s="1630"/>
      <c r="L67" s="1635"/>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0</v>
      </c>
      <c r="P67" s="1224"/>
      <c r="Q67" s="1224"/>
      <c r="R67" s="1226" t="e">
        <f>O67/'Расчет базового уровня'!$D$35/0.86*1000</f>
        <v>#DIV/0!</v>
      </c>
      <c r="S67" s="1227" t="e">
        <f>R67</f>
        <v>#DIV/0!</v>
      </c>
      <c r="T67" s="1206"/>
      <c r="U67" s="1206"/>
      <c r="V67" s="1226" t="e">
        <f>(O67+P67)/'Расчет базового уровня'!$D$9/0.86*1000</f>
        <v>#DIV/0!</v>
      </c>
      <c r="W67" s="1228" t="e">
        <f>(S67*'Расчет базового уровня'!$D$35+'Список мероприятий'!U67*'Расчет базового уровня'!$D$15)/'Расчет базового уровня'!$D$9</f>
        <v>#DIV/0!</v>
      </c>
      <c r="X67" s="1228"/>
      <c r="Y67" s="1228"/>
      <c r="Z67" s="87">
        <f>IF(AB67-H67=1,1,0)</f>
        <v>0</v>
      </c>
      <c r="AA67" s="1220">
        <f>IF(AND('Ввод исходных данных'!$D$12&lt;2000,списки!$D$32=1,списки!$D$33=0,списки!$D$36=0),1,0)</f>
        <v>0</v>
      </c>
      <c r="AB67" s="1192">
        <f>IF(AC67=TRUE,1,0)</f>
        <v>0</v>
      </c>
      <c r="AC67" s="1198" t="b">
        <v>0</v>
      </c>
      <c r="AD67" s="1220">
        <f>IF(A67="ОШИБКА",1,0)</f>
        <v>0</v>
      </c>
      <c r="AE67" s="88" t="str">
        <f>IF(AB67=1,CONCATENATE(D66," - ",D68," - ",D69,"см",CHAR(10)),"")</f>
        <v/>
      </c>
      <c r="AF67" s="87"/>
      <c r="AG67" s="87"/>
      <c r="AH67" s="87"/>
      <c r="AI67" s="87"/>
      <c r="AJ67" s="87"/>
      <c r="AK67" s="87"/>
      <c r="AL67" s="87"/>
      <c r="AM67" s="87"/>
      <c r="AN67" s="87"/>
      <c r="AO67" s="87"/>
      <c r="AP67" s="87"/>
      <c r="AQ67" s="87"/>
      <c r="AR67" s="87"/>
      <c r="AS67" s="87"/>
    </row>
    <row r="68" spans="1:45" x14ac:dyDescent="0.25">
      <c r="A68" s="1221" t="str">
        <f>IF(OR(AND(AA68=0,AB68=1),AND(AA68=1,AB68=0)),"Ошибка","")</f>
        <v/>
      </c>
      <c r="B68" s="87"/>
      <c r="C68" s="1222"/>
      <c r="D68" s="1297" t="s">
        <v>1269</v>
      </c>
      <c r="E68" s="1663"/>
      <c r="F68" s="1630"/>
      <c r="G68" s="1630"/>
      <c r="H68" s="1631"/>
      <c r="I68" s="1630"/>
      <c r="J68" s="1630"/>
      <c r="K68" s="1630"/>
      <c r="L68" s="1635"/>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0</v>
      </c>
      <c r="AB68" s="1192">
        <f>IF(D68="Пожалуйста, выберите технологию",0,1)</f>
        <v>0</v>
      </c>
      <c r="AC68" s="1193"/>
      <c r="AD68" s="1220">
        <f>IF(A68="ОШИБКА",1,0)</f>
        <v>0</v>
      </c>
      <c r="AF68" s="87"/>
      <c r="AG68" s="87"/>
      <c r="AH68" s="87"/>
      <c r="AI68" s="87"/>
      <c r="AJ68" s="87"/>
      <c r="AK68" s="87"/>
      <c r="AL68" s="87"/>
      <c r="AM68" s="87"/>
      <c r="AN68" s="87"/>
      <c r="AO68" s="87"/>
      <c r="AP68" s="87"/>
      <c r="AQ68" s="87"/>
      <c r="AR68" s="87"/>
      <c r="AS68" s="87"/>
    </row>
    <row r="69" spans="1:45" x14ac:dyDescent="0.25">
      <c r="A69" s="1221" t="str">
        <f>IF(OR(AND(AA69=0,AB69=1),AND(AA69=1,AB69=0)),"Ошибка","")</f>
        <v/>
      </c>
      <c r="B69" s="87"/>
      <c r="C69" s="1222"/>
      <c r="D69" s="1296" t="s">
        <v>1268</v>
      </c>
      <c r="E69" s="1625"/>
      <c r="F69" s="1630"/>
      <c r="G69" s="1630"/>
      <c r="H69" s="1631"/>
      <c r="I69" s="1630"/>
      <c r="J69" s="1630"/>
      <c r="K69" s="1630"/>
      <c r="L69" s="1636"/>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0</v>
      </c>
      <c r="AB69" s="1192">
        <f>IF(D69&lt;&gt;списки!$O$16,1,0)</f>
        <v>0</v>
      </c>
      <c r="AC69" s="1193"/>
      <c r="AD69" s="1220">
        <f>IF(A69="ОШИБКА",1,0)</f>
        <v>0</v>
      </c>
      <c r="AF69" s="87"/>
      <c r="AG69" s="87"/>
      <c r="AH69" s="87"/>
      <c r="AI69" s="87"/>
      <c r="AJ69" s="87"/>
      <c r="AK69" s="87"/>
      <c r="AL69" s="87"/>
      <c r="AM69" s="87"/>
      <c r="AN69" s="87"/>
      <c r="AO69" s="87"/>
      <c r="AP69" s="87"/>
      <c r="AQ69" s="87"/>
      <c r="AR69" s="87"/>
      <c r="AS69" s="87"/>
    </row>
    <row r="70" spans="1:45" x14ac:dyDescent="0.25">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75" x14ac:dyDescent="0.25">
      <c r="A71" s="1265" t="str">
        <f>IF(SUM(AD73:AD73)&gt;0,"Ошибка","")</f>
        <v/>
      </c>
      <c r="B71" s="87"/>
      <c r="C71" s="1266"/>
      <c r="D71" s="1481" t="s">
        <v>1464</v>
      </c>
      <c r="E71" s="1266"/>
      <c r="F71" s="1267"/>
      <c r="G71" s="1267"/>
      <c r="H71" s="1267"/>
      <c r="I71" s="1267"/>
      <c r="J71" s="1267"/>
      <c r="K71" s="1267"/>
      <c r="L71" s="1266"/>
      <c r="M71" s="87"/>
      <c r="N71" s="87"/>
      <c r="O71" s="1268">
        <f>O73</f>
        <v>0</v>
      </c>
      <c r="P71" s="1268"/>
      <c r="Q71" s="1268"/>
      <c r="R71" s="1271" t="e">
        <f>O71/'Расчет базового уровня'!$D$35/0.86*1000</f>
        <v>#DIV/0!</v>
      </c>
      <c r="S71" s="1273" t="e">
        <f>R71</f>
        <v>#DIV/0!</v>
      </c>
      <c r="T71" s="1270"/>
      <c r="U71" s="1270"/>
      <c r="V71" s="1271" t="e">
        <f>(O71+P71)/'Расчет базового уровня'!$D$9/0.86*1000</f>
        <v>#DIV/0!</v>
      </c>
      <c r="W71" s="1271" t="e">
        <f>(S71*'Расчет базового уровня'!$D$35+'Список мероприятий'!U71*'Расчет базового уровня'!$D$15)/'Расчет базового уровня'!$D$9</f>
        <v>#DIV/0!</v>
      </c>
      <c r="X71" s="1270"/>
      <c r="Y71" s="1273" t="e">
        <f>Y74+Y76</f>
        <v>#DIV/0!</v>
      </c>
      <c r="Z71" s="87"/>
      <c r="AA71" s="1266"/>
      <c r="AB71" s="1196"/>
      <c r="AC71" s="1197"/>
      <c r="AD71" s="1266"/>
      <c r="AF71" s="87"/>
      <c r="AG71" s="87"/>
      <c r="AH71" s="87"/>
      <c r="AI71" s="87"/>
      <c r="AJ71" s="87"/>
      <c r="AK71" s="87"/>
      <c r="AL71" s="87"/>
      <c r="AM71" s="87"/>
      <c r="AN71" s="87"/>
      <c r="AO71" s="87"/>
      <c r="AP71" s="87"/>
      <c r="AQ71" s="87"/>
      <c r="AR71" s="87"/>
      <c r="AS71" s="87"/>
    </row>
    <row r="72" spans="1:45" x14ac:dyDescent="0.25">
      <c r="A72" s="87"/>
      <c r="B72" s="87"/>
      <c r="C72" s="87"/>
      <c r="D72" s="87"/>
      <c r="E72" s="87"/>
      <c r="F72" s="1482" t="s">
        <v>858</v>
      </c>
      <c r="G72" s="1482" t="s">
        <v>1317</v>
      </c>
      <c r="H72" s="1482" t="s">
        <v>1316</v>
      </c>
      <c r="I72" s="1482"/>
      <c r="J72" s="1482"/>
      <c r="K72" s="1482"/>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25">
      <c r="A73" s="1221" t="str">
        <f>IF(AND(AA73=0,AB73=1),"Ошибка","")</f>
        <v/>
      </c>
      <c r="B73" s="87"/>
      <c r="C73" s="1020"/>
      <c r="D73" s="1231" t="s">
        <v>1296</v>
      </c>
      <c r="E73" s="1235" t="s">
        <v>1890</v>
      </c>
      <c r="F73" s="1292">
        <f>'Ввод исходных данных'!G64</f>
        <v>0</v>
      </c>
      <c r="G73" s="1292"/>
      <c r="H73" s="1294">
        <f>I73+J73+K73</f>
        <v>0</v>
      </c>
      <c r="I73" s="1292"/>
      <c r="J73" s="1516">
        <f>IF(AB76=1,G73*F73,0)</f>
        <v>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24"/>
      <c r="Q73" s="1224"/>
      <c r="R73" s="1226" t="e">
        <f>O73/'Расчет базового уровня'!$D$35/0.86*1000</f>
        <v>#DIV/0!</v>
      </c>
      <c r="S73" s="1227" t="e">
        <f>R73</f>
        <v>#DIV/0!</v>
      </c>
      <c r="T73" s="1206"/>
      <c r="U73" s="1206"/>
      <c r="V73" s="1226" t="e">
        <f>(O73+P73)/'Расчет базового уровня'!$D$9/0.86*1000</f>
        <v>#DIV/0!</v>
      </c>
      <c r="W73" s="1274" t="e">
        <f>V73</f>
        <v>#DIV/0!</v>
      </c>
      <c r="X73" s="1206"/>
      <c r="Y73" s="1206"/>
      <c r="Z73" s="87">
        <f>IF(AB73-H73=1,1,0)</f>
        <v>0</v>
      </c>
      <c r="AA73" s="1220">
        <f>IF(AND('Ввод исходных данных'!$D$12&lt;2000,списки!D34=0),1,0)</f>
        <v>1</v>
      </c>
      <c r="AB73" s="1192">
        <f>IF(AC73=TRUE,1,0)</f>
        <v>0</v>
      </c>
      <c r="AC73" s="1193" t="b">
        <v>0</v>
      </c>
      <c r="AD73" s="1220">
        <f>IF(A73="ОШИБКА",1,0)</f>
        <v>0</v>
      </c>
      <c r="AE73" s="88" t="str">
        <f>IF(AB73=1,CONCATENATE(D73,CHAR(10)),"")</f>
        <v/>
      </c>
      <c r="AF73" s="87"/>
      <c r="AG73" s="87"/>
      <c r="AH73" s="87"/>
      <c r="AI73" s="87"/>
      <c r="AJ73" s="87"/>
      <c r="AK73" s="87"/>
      <c r="AL73" s="87"/>
      <c r="AM73" s="87"/>
      <c r="AN73" s="87"/>
      <c r="AO73" s="87"/>
      <c r="AP73" s="87"/>
      <c r="AQ73" s="87"/>
      <c r="AR73" s="87"/>
      <c r="AS73" s="87"/>
    </row>
    <row r="74" spans="1:45" ht="45" x14ac:dyDescent="0.25">
      <c r="A74" s="1259" t="str">
        <f>IF(AND(AA74=0,AB74=1),"Ошибка","")</f>
        <v/>
      </c>
      <c r="B74" s="87"/>
      <c r="C74" s="1020"/>
      <c r="D74" s="1223" t="s">
        <v>1301</v>
      </c>
      <c r="E74" s="1624" t="s">
        <v>1303</v>
      </c>
      <c r="F74" s="1630">
        <f>'Ввод исходных данных'!G130+'Ввод исходных данных'!G131+'Ввод исходных данных'!G132+'Ввод исходных данных'!G133+'Ввод исходных данных'!G134</f>
        <v>0</v>
      </c>
      <c r="G74" s="1630"/>
      <c r="H74" s="1631">
        <f>I74+J74+K74</f>
        <v>0</v>
      </c>
      <c r="I74" s="1630"/>
      <c r="J74" s="1630">
        <f>IF(AB76=1,G74*F74,0)</f>
        <v>0</v>
      </c>
      <c r="K74" s="1630"/>
      <c r="L74" s="1626"/>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t="e">
        <f>Q74/'Расчет базового уровня'!$D$100</f>
        <v>#DIV/0!</v>
      </c>
      <c r="Y74" s="1227" t="e">
        <f>X74</f>
        <v>#DIV/0!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25">
      <c r="A75" s="1259"/>
      <c r="B75" s="87"/>
      <c r="C75" s="1020"/>
      <c r="D75" s="1300" t="s">
        <v>979</v>
      </c>
      <c r="E75" s="1625"/>
      <c r="F75" s="1630"/>
      <c r="G75" s="1630"/>
      <c r="H75" s="1631"/>
      <c r="I75" s="1630"/>
      <c r="J75" s="1630"/>
      <c r="K75" s="1630"/>
      <c r="L75" s="1627"/>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25">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t="e">
        <f>Q76/'Расчет базового уровня'!$D$100</f>
        <v>#DIV/0!</v>
      </c>
      <c r="Y76" s="1226" t="e">
        <f>X76*(1-X74/'Расчет базового уровня'!D103)</f>
        <v>#DIV/0!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25">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25">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25" x14ac:dyDescent="0.35">
      <c r="A79" s="87"/>
      <c r="B79" s="1681" t="str">
        <f>IF(AND('Список мероприятий'!$AB$32=0,'Система отопления'!F5=0,'Система отопления'!F6=0),"Необходимо выбрать установку АУУ СО","")</f>
        <v/>
      </c>
      <c r="C79" s="1681"/>
      <c r="D79" s="1681"/>
      <c r="E79" s="1681"/>
      <c r="F79" s="1681"/>
      <c r="G79" s="1681"/>
      <c r="H79" s="1681"/>
      <c r="I79" s="1681"/>
      <c r="J79" s="1681"/>
      <c r="K79" s="1681"/>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45">
      <c r="A80" s="87"/>
      <c r="B80" s="1661"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Заполните все стоимости. Есть ошибки ввода исходных данных</v>
      </c>
      <c r="C80" s="1661"/>
      <c r="D80" s="1661"/>
      <c r="E80" s="1661"/>
      <c r="F80" s="1661"/>
      <c r="G80" s="1661"/>
      <c r="H80" s="1661"/>
      <c r="I80" s="1661"/>
      <c r="J80" s="1661"/>
      <c r="K80" s="1661"/>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
      <c r="A81" s="87"/>
      <c r="B81" s="1658" t="str">
        <f>IF(списки!C50=0,CONCATENATE(AE9,AE12,AE14,AE20,AE24,AE27,AE37,AE38,AE39,AE42,AE47,AE52,AE32,AE34,AE35,AE55,AE56,AE58,AE62,AE67,AE73,AE74,AE76),"")</f>
        <v/>
      </c>
      <c r="C81" s="1659"/>
      <c r="D81" s="1659"/>
      <c r="E81" s="1659"/>
      <c r="F81" s="1659"/>
      <c r="G81" s="1659"/>
      <c r="H81" s="1659"/>
      <c r="I81" s="1659"/>
      <c r="J81" s="1659"/>
      <c r="K81" s="1660"/>
      <c r="L81" s="1275" t="e">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#VALUE!</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25">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25">
      <c r="A84" s="87"/>
      <c r="B84" s="87"/>
      <c r="C84" s="87"/>
      <c r="D84" s="1278" t="s">
        <v>834</v>
      </c>
      <c r="E84" s="1286" t="s">
        <v>1361</v>
      </c>
      <c r="F84" s="1279" t="s">
        <v>868</v>
      </c>
      <c r="G84" s="1653" t="s">
        <v>869</v>
      </c>
      <c r="H84" s="1653"/>
      <c r="I84" s="1653"/>
      <c r="J84" s="1654"/>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25">
      <c r="A85" s="87"/>
      <c r="B85" s="87"/>
      <c r="C85" s="87"/>
      <c r="D85" s="1655" t="s">
        <v>1362</v>
      </c>
      <c r="E85" s="1656"/>
      <c r="F85" s="1656"/>
      <c r="G85" s="1656"/>
      <c r="H85" s="1656"/>
      <c r="I85" s="1656"/>
      <c r="J85" s="1657"/>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25">
      <c r="A86" s="87"/>
      <c r="B86" s="87"/>
      <c r="C86" s="87"/>
      <c r="D86" s="1483" t="s">
        <v>1363</v>
      </c>
      <c r="E86" s="1494" t="s">
        <v>1316</v>
      </c>
      <c r="F86" s="1524" t="str">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
      </c>
      <c r="G86" s="1485"/>
      <c r="H86" s="1486"/>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30" x14ac:dyDescent="0.25">
      <c r="A87" s="87"/>
      <c r="B87" s="87"/>
      <c r="C87" s="87"/>
      <c r="D87" s="1493" t="s">
        <v>1654</v>
      </c>
      <c r="E87" s="1494" t="s">
        <v>1364</v>
      </c>
      <c r="F87" s="1525" t="str">
        <f>IF(списки!C50=1,"",F86/'Экономический расчет'!C26)</f>
        <v/>
      </c>
      <c r="G87" s="1487"/>
      <c r="H87" s="1488"/>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32.25" x14ac:dyDescent="0.25">
      <c r="A88" s="87"/>
      <c r="B88" s="87"/>
      <c r="C88" s="87"/>
      <c r="D88" s="1493" t="s">
        <v>1891</v>
      </c>
      <c r="E88" s="1494" t="s">
        <v>1364</v>
      </c>
      <c r="F88" s="1525" t="str">
        <f>IF(списки!C50=1,"",F86/('Ввод исходных данных'!G44+'Ввод исходных данных'!D22))</f>
        <v/>
      </c>
      <c r="G88" s="1487"/>
      <c r="H88" s="1488"/>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30" x14ac:dyDescent="0.25">
      <c r="A89" s="87"/>
      <c r="B89" s="87"/>
      <c r="C89" s="87"/>
      <c r="D89" s="1493" t="s">
        <v>1914</v>
      </c>
      <c r="E89" s="1494" t="s">
        <v>1316</v>
      </c>
      <c r="F89" s="1525" t="str">
        <f>IF(OR(списки!C48=1,списки!C51=1),"",'Экономический расчет'!C18-'Экономический расчет'!D18)</f>
        <v/>
      </c>
      <c r="G89" s="1487"/>
      <c r="H89" s="1488"/>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25">
      <c r="A90" s="87"/>
      <c r="B90" s="87"/>
      <c r="C90" s="87"/>
      <c r="D90" s="1483" t="s">
        <v>1892</v>
      </c>
      <c r="E90" s="1494" t="s">
        <v>1181</v>
      </c>
      <c r="F90" s="1526">
        <f>'Экономический расчет'!C35</f>
        <v>0</v>
      </c>
      <c r="G90" s="1487"/>
      <c r="H90" s="1488"/>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25">
      <c r="A91" s="87"/>
      <c r="B91" s="87"/>
      <c r="C91" s="87"/>
      <c r="D91" s="1483" t="s">
        <v>1365</v>
      </c>
      <c r="E91" s="1494" t="s">
        <v>1366</v>
      </c>
      <c r="F91" s="1527" t="str">
        <f>IF(списки!C50=1,"",'Экономический расчет'!C36)</f>
        <v/>
      </c>
      <c r="G91" s="1487"/>
      <c r="H91" s="1488"/>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25">
      <c r="A92" s="87"/>
      <c r="B92" s="87"/>
      <c r="C92" s="87"/>
      <c r="D92" s="1655" t="s">
        <v>1367</v>
      </c>
      <c r="E92" s="1656"/>
      <c r="F92" s="1656"/>
      <c r="G92" s="1656"/>
      <c r="H92" s="1656"/>
      <c r="I92" s="1656"/>
      <c r="J92" s="1657"/>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25">
      <c r="A93" s="87"/>
      <c r="B93" s="87"/>
      <c r="C93" s="87"/>
      <c r="D93" s="1489" t="s">
        <v>1368</v>
      </c>
      <c r="E93" s="1484" t="s">
        <v>1184</v>
      </c>
      <c r="F93" s="1520" t="str">
        <f>IF(OR(списки!C48=1,списки!C51=1),"",'Экономический расчет'!E19)</f>
        <v/>
      </c>
      <c r="G93" s="1485"/>
      <c r="H93" s="1486"/>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25">
      <c r="A94" s="87"/>
      <c r="B94" s="87"/>
      <c r="C94" s="87"/>
      <c r="D94" s="1490" t="s">
        <v>1369</v>
      </c>
      <c r="E94" s="1491" t="s">
        <v>842</v>
      </c>
      <c r="F94" s="1521" t="str">
        <f>IF(OR(списки!C48=1,списки!C51=1),"",'Экономический расчет'!E22)</f>
        <v/>
      </c>
      <c r="G94" s="1487"/>
      <c r="H94" s="1488"/>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25">
      <c r="A95" s="87"/>
      <c r="B95" s="87"/>
      <c r="C95" s="87"/>
      <c r="D95" s="1492" t="s">
        <v>1370</v>
      </c>
      <c r="E95" s="1491" t="s">
        <v>842</v>
      </c>
      <c r="F95" s="1522" t="e">
        <f>IF('Расчет после реализации'!D106&gt;'Расчет после реализации'!C106,'Расчет после реализации'!D106-'Расчет после реализации'!C106,0)</f>
        <v>#N/A</v>
      </c>
      <c r="G95" s="1641" t="s">
        <v>1371</v>
      </c>
      <c r="H95" s="1642"/>
      <c r="I95" s="1642"/>
      <c r="J95" s="1643"/>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25">
      <c r="A96" s="87"/>
      <c r="B96" s="87"/>
      <c r="C96" s="87"/>
      <c r="D96" s="1492" t="s">
        <v>1372</v>
      </c>
      <c r="E96" s="1491" t="s">
        <v>842</v>
      </c>
      <c r="F96" s="1521" t="str">
        <f>IF(OR(списки!C48=1,списки!C51=1),"",'Расчет после реализации'!D7)</f>
        <v/>
      </c>
      <c r="G96" s="1677"/>
      <c r="H96" s="1678"/>
      <c r="I96" s="1678"/>
      <c r="J96" s="1679"/>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7.25" x14ac:dyDescent="0.25">
      <c r="A97" s="87"/>
      <c r="B97" s="87"/>
      <c r="C97" s="87"/>
      <c r="D97" s="1492" t="s">
        <v>1373</v>
      </c>
      <c r="E97" s="1491" t="s">
        <v>1374</v>
      </c>
      <c r="F97" s="1523" t="str">
        <f>IF(OR(списки!C48=1,списки!C51=1),"",F96/('Ввод исходных данных'!G44+'Ввод исходных данных'!$G$22))</f>
        <v/>
      </c>
      <c r="G97" s="1677"/>
      <c r="H97" s="1678"/>
      <c r="I97" s="1678"/>
      <c r="J97" s="1679"/>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25">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25">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25">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25">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25">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25">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25">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25">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25">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25">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25">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25">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25">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25">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25">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25">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25">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25">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25">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25">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25">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25">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25">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25">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25">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25">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25">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25">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25">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25">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25">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25">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25">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25">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25">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25">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25">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25">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25">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25">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25">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25">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25">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25">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25">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25">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25">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25">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25">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25">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25">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25">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25">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25">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25">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25">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25">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25">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25">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25">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25">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25">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25">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25">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25">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25">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25">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25">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25">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25">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25">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25">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25">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25">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25">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25">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25">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25">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25">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25">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333375</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85725</xdr:colOff>
                    <xdr:row>8</xdr:row>
                    <xdr:rowOff>19050</xdr:rowOff>
                  </from>
                  <to>
                    <xdr:col>3</xdr:col>
                    <xdr:colOff>419100</xdr:colOff>
                    <xdr:row>9</xdr:row>
                    <xdr:rowOff>38100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zoomScaleNormal="100" workbookViewId="0">
      <pane ySplit="1" topLeftCell="A2" activePane="bottomLeft" state="frozen"/>
      <selection pane="bottomLeft" activeCell="C32" sqref="C32"/>
    </sheetView>
  </sheetViews>
  <sheetFormatPr defaultRowHeight="12.75" x14ac:dyDescent="0.2"/>
  <cols>
    <col min="1" max="1" width="9.140625" style="58"/>
    <col min="2" max="2" width="35.5703125" style="58" customWidth="1"/>
    <col min="3" max="3" width="10.42578125" style="58" customWidth="1"/>
    <col min="4" max="4" width="9.85546875" style="58" bestFit="1" customWidth="1"/>
    <col min="5" max="5" width="17.5703125" style="58" customWidth="1"/>
    <col min="6" max="6" width="13" style="58" customWidth="1"/>
    <col min="7" max="7" width="20" style="58" customWidth="1"/>
    <col min="8" max="8" width="9.85546875" style="58" customWidth="1"/>
    <col min="9" max="9" width="10.7109375" style="58" bestFit="1" customWidth="1"/>
    <col min="10" max="11" width="12" style="58" bestFit="1" customWidth="1"/>
    <col min="12" max="16384" width="9.140625" style="58"/>
  </cols>
  <sheetData>
    <row r="1" spans="1:44" s="56" customFormat="1" ht="15" customHeight="1" x14ac:dyDescent="0.2">
      <c r="A1" s="53"/>
      <c r="B1" s="1693" t="s">
        <v>1687</v>
      </c>
      <c r="C1" s="1693"/>
      <c r="D1" s="1693"/>
      <c r="E1" s="1694" t="s">
        <v>1680</v>
      </c>
      <c r="F1" s="1694"/>
      <c r="G1" s="1694"/>
      <c r="H1" s="55"/>
      <c r="I1" s="55"/>
    </row>
    <row r="2" spans="1:44" x14ac:dyDescent="0.2">
      <c r="A2" s="301"/>
      <c r="B2" s="301"/>
      <c r="C2" s="1689" t="s">
        <v>1430</v>
      </c>
      <c r="D2" s="1690"/>
      <c r="E2" s="1691"/>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2">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2">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2">
      <c r="A5" s="302"/>
      <c r="B5" s="303" t="s">
        <v>1521</v>
      </c>
      <c r="C5" s="182" t="s">
        <v>1316</v>
      </c>
      <c r="D5" s="1495" t="str">
        <f>'Список мероприятий'!F86</f>
        <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2">
      <c r="A6" s="302"/>
      <c r="B6" s="304" t="s">
        <v>1522</v>
      </c>
      <c r="C6" s="182" t="s">
        <v>1316</v>
      </c>
      <c r="D6" s="1496" t="e">
        <f>D5*2</f>
        <v>#VALUE!</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2">
      <c r="A7" s="302"/>
      <c r="B7" s="303" t="s">
        <v>1429</v>
      </c>
      <c r="C7" s="182" t="s">
        <v>1316</v>
      </c>
      <c r="D7" s="1496"/>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2">
      <c r="A8" s="302"/>
      <c r="B8" s="303" t="s">
        <v>1781</v>
      </c>
      <c r="C8" s="182" t="s">
        <v>1782</v>
      </c>
      <c r="D8" s="1496"/>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2">
      <c r="A9" s="302"/>
      <c r="B9" s="303" t="s">
        <v>1783</v>
      </c>
      <c r="C9" s="182" t="s">
        <v>1181</v>
      </c>
      <c r="D9" s="1496"/>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5.5" x14ac:dyDescent="0.2">
      <c r="A10" s="302"/>
      <c r="B10" s="305" t="s">
        <v>1328</v>
      </c>
      <c r="C10" s="182" t="s">
        <v>1316</v>
      </c>
      <c r="D10" s="1495" t="e">
        <f>E23*D13</f>
        <v>#N/A</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2">
      <c r="A11" s="302"/>
      <c r="B11" s="1695" t="s">
        <v>1333</v>
      </c>
      <c r="C11" s="1696"/>
      <c r="D11" s="1697"/>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2">
      <c r="A12" s="302"/>
      <c r="B12" s="306" t="s">
        <v>1320</v>
      </c>
      <c r="C12" s="1497" t="s">
        <v>1321</v>
      </c>
      <c r="D12" s="1495">
        <f>'Ввод исходных данных'!C269</f>
        <v>0</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2">
      <c r="A13" s="302"/>
      <c r="B13" s="306" t="s">
        <v>1322</v>
      </c>
      <c r="C13" s="1497" t="s">
        <v>1323</v>
      </c>
      <c r="D13" s="1495">
        <f>'Ввод исходных данных'!D269</f>
        <v>0</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2">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2">
      <c r="A15" s="302"/>
      <c r="B15" s="1699" t="s">
        <v>1460</v>
      </c>
      <c r="C15" s="1700"/>
      <c r="D15" s="1700"/>
      <c r="E15" s="1700"/>
      <c r="F15" s="1700"/>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2">
      <c r="A16" s="302"/>
      <c r="B16" s="306"/>
      <c r="C16" s="1688" t="s">
        <v>1316</v>
      </c>
      <c r="D16" s="1688"/>
      <c r="E16" s="1688"/>
      <c r="F16" s="1688"/>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2">
      <c r="A17" s="302"/>
      <c r="B17" s="306"/>
      <c r="C17" s="307" t="s">
        <v>1329</v>
      </c>
      <c r="D17" s="308" t="s">
        <v>1334</v>
      </c>
      <c r="E17" s="309" t="s">
        <v>1335</v>
      </c>
      <c r="F17" s="1698"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2">
      <c r="A18" s="302"/>
      <c r="B18" s="306" t="s">
        <v>1330</v>
      </c>
      <c r="C18" s="1495">
        <f>C19+C22</f>
        <v>0</v>
      </c>
      <c r="D18" s="1495">
        <f>D19+D22</f>
        <v>0</v>
      </c>
      <c r="E18" s="1500"/>
      <c r="F18" s="1698"/>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2">
      <c r="A19" s="302"/>
      <c r="B19" s="1498" t="s">
        <v>1431</v>
      </c>
      <c r="C19" s="1495">
        <f>C20+C21</f>
        <v>0</v>
      </c>
      <c r="D19" s="1495">
        <f>D20+D21</f>
        <v>0</v>
      </c>
      <c r="E19" s="1500">
        <f>IF(списки!C50=1,0,E20+E21)</f>
        <v>0</v>
      </c>
      <c r="F19" s="1698"/>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2">
      <c r="A20" s="302"/>
      <c r="B20" s="1499" t="s">
        <v>1331</v>
      </c>
      <c r="C20" s="1495">
        <f>'Расчет базового уровня'!D13*'Экономический расчет'!$D$12</f>
        <v>0</v>
      </c>
      <c r="D20" s="1495">
        <f>IF(списки!C50=1,0,'Расчет после реализации'!D12*0.86/1000*'Экономический расчет'!$D$12)</f>
        <v>0</v>
      </c>
      <c r="E20" s="1500">
        <f>IF(списки!C50=1,0,'Расчет после реализации'!D13*0.86/1000)</f>
        <v>0</v>
      </c>
      <c r="F20" s="1698"/>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2">
      <c r="A21" s="302"/>
      <c r="B21" s="1499" t="s">
        <v>1332</v>
      </c>
      <c r="C21" s="1495">
        <f>'Расчет базового уровня'!D16*'Экономический расчет'!$D$12</f>
        <v>0</v>
      </c>
      <c r="D21" s="1495">
        <f>IF(списки!C50=1,0,'Расчет после реализации'!D15*0.86/1000*'Экономический расчет'!$D$12)</f>
        <v>0</v>
      </c>
      <c r="E21" s="1500">
        <f>IF(списки!C50=1,0,'Расчет после реализации'!D86*0.86/1000)</f>
        <v>0</v>
      </c>
      <c r="F21" s="1698"/>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2">
      <c r="A22" s="302"/>
      <c r="B22" s="1498" t="s">
        <v>1432</v>
      </c>
      <c r="C22" s="1495">
        <f>'Расчет базового уровня'!D18*'Экономический расчет'!$D$13</f>
        <v>0</v>
      </c>
      <c r="D22" s="1495">
        <f>IF(списки!C50=1,0,'Расчет после реализации'!D18*'Экономический расчет'!$D$13)</f>
        <v>0</v>
      </c>
      <c r="E22" s="1500">
        <f>IF(списки!C50=1,0,'Расчет после реализации'!C100-'Расчет после реализации'!D100)</f>
        <v>0</v>
      </c>
      <c r="F22" s="1698"/>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2">
      <c r="A23" s="302"/>
      <c r="B23" s="1692" t="s">
        <v>1465</v>
      </c>
      <c r="C23" s="1692"/>
      <c r="D23" s="1692"/>
      <c r="E23" s="1501" t="e">
        <f>IF('Расчет после реализации'!D106&gt;'Расчет после реализации'!C106,'Расчет после реализации'!D106-'Расчет после реализации'!C106,0)</f>
        <v>#N/A</v>
      </c>
      <c r="F23" s="1698"/>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2">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2">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2">
      <c r="A26" s="302"/>
      <c r="B26" s="306" t="s">
        <v>1415</v>
      </c>
      <c r="C26" s="1495">
        <f>'Ввод исходных данных'!G43</f>
        <v>0</v>
      </c>
      <c r="D26" s="1686"/>
      <c r="E26" s="1686"/>
      <c r="F26" s="1686"/>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2">
      <c r="A27" s="302"/>
      <c r="B27" s="306" t="s">
        <v>1893</v>
      </c>
      <c r="C27" s="1495">
        <f>'Ввод исходных данных'!G44+'Ввод исходных данных'!D22</f>
        <v>0</v>
      </c>
      <c r="D27" s="1686"/>
      <c r="E27" s="1686"/>
      <c r="F27" s="1686"/>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2">
      <c r="A28" s="302"/>
      <c r="B28" s="306" t="s">
        <v>1416</v>
      </c>
      <c r="C28" s="1495" t="str">
        <f>'Список мероприятий'!F86</f>
        <v/>
      </c>
      <c r="D28" s="1686"/>
      <c r="E28" s="1686"/>
      <c r="F28" s="1686"/>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2">
      <c r="A29" s="302"/>
      <c r="B29" s="306" t="s">
        <v>1417</v>
      </c>
      <c r="C29" s="1495" t="e">
        <f>C28/C26</f>
        <v>#VALUE!</v>
      </c>
      <c r="D29" s="1686" t="s">
        <v>1615</v>
      </c>
      <c r="E29" s="1686"/>
      <c r="F29" s="1686"/>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2">
      <c r="A30" s="302"/>
      <c r="B30" s="306" t="s">
        <v>1417</v>
      </c>
      <c r="C30" s="1495" t="e">
        <f>C28/C27</f>
        <v>#VALUE!</v>
      </c>
      <c r="D30" s="1686" t="s">
        <v>1658</v>
      </c>
      <c r="E30" s="1686"/>
      <c r="F30" s="1686"/>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2">
      <c r="A31" s="302"/>
      <c r="B31" s="306" t="s">
        <v>1419</v>
      </c>
      <c r="C31" s="1495"/>
      <c r="D31" s="1686"/>
      <c r="E31" s="1686"/>
      <c r="F31" s="1686"/>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2">
      <c r="A32" s="302"/>
      <c r="B32" s="312" t="s">
        <v>1427</v>
      </c>
      <c r="C32" s="1495">
        <f>IF(списки!C50=1,0,MIN(5000000,D6/2,IF(AND(C35&gt;=0.1,C35&lt;=0.3),(C35*10+1)*C34,IF(C35&gt;0.3,4*C34,0))))</f>
        <v>0</v>
      </c>
      <c r="D32" s="1686"/>
      <c r="E32" s="1686"/>
      <c r="F32" s="1686"/>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2">
      <c r="A33" s="302"/>
      <c r="B33" s="312" t="s">
        <v>1428</v>
      </c>
      <c r="C33" s="1495" t="e">
        <f>MIN(5*10^6-C32,D6/2-C32,IF(списки!C50=1,0,ABS(D7+PMT(MIN(D9,0.1)/12,MIN(D8,60),D7)*MIN(D8,60))))</f>
        <v>#VALUE!</v>
      </c>
      <c r="D33" s="1686"/>
      <c r="E33" s="1686"/>
      <c r="F33" s="1686"/>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2">
      <c r="A34" s="302"/>
      <c r="B34" s="306" t="s">
        <v>1630</v>
      </c>
      <c r="C34" s="1495">
        <f>IF(списки!C48=1,0,C35*(C18))</f>
        <v>0</v>
      </c>
      <c r="D34" s="1686"/>
      <c r="E34" s="1686"/>
      <c r="F34" s="1686"/>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2">
      <c r="A35" s="302"/>
      <c r="B35" s="306" t="s">
        <v>1420</v>
      </c>
      <c r="C35" s="313">
        <f>IF(списки!C48=1,0,1-D18/C18)</f>
        <v>0</v>
      </c>
      <c r="D35" s="1687"/>
      <c r="E35" s="1687"/>
      <c r="F35" s="1687"/>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2">
      <c r="A36" s="302"/>
      <c r="B36" s="306" t="s">
        <v>1418</v>
      </c>
      <c r="C36" s="311">
        <f>IF(списки!C50=1,0,D5/C34)</f>
        <v>0</v>
      </c>
      <c r="D36" s="1686"/>
      <c r="E36" s="1686"/>
      <c r="F36" s="1686"/>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2">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2">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2">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2">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2">
      <c r="A41" s="302"/>
      <c r="B41" s="1287">
        <v>1</v>
      </c>
      <c r="C41" s="1288" t="e">
        <f>'Список мероприятий'!W9</f>
        <v>#DIV/0!</v>
      </c>
      <c r="D41" s="1287" t="e">
        <f>IF(E41=0,"","Повыш-е теплозащ. наружных стен")</f>
        <v>#DIV/0!</v>
      </c>
      <c r="E41" s="1289" t="e">
        <f t="shared" ref="E41:E63" si="0">F41/SUM($F$41:$F$63)</f>
        <v>#DIV/0!</v>
      </c>
      <c r="F41" s="1287" t="e">
        <f t="shared" ref="F41:F46" si="1">$C41*$C$19</f>
        <v>#DIV/0!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2">
      <c r="A42" s="302"/>
      <c r="B42" s="1287">
        <v>2</v>
      </c>
      <c r="C42" s="1288" t="e">
        <f>'Список мероприятий'!W12</f>
        <v>#DIV/0!</v>
      </c>
      <c r="D42" s="1287" t="e">
        <f>IF(E42=0,"","Заделка и герметизация межпанельных соединений")</f>
        <v>#DIV/0!</v>
      </c>
      <c r="E42" s="1289" t="e">
        <f t="shared" si="0"/>
        <v>#DIV/0!</v>
      </c>
      <c r="F42" s="1287" t="e">
        <f t="shared" si="1"/>
        <v>#DIV/0!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2">
      <c r="A43" s="302"/>
      <c r="B43" s="1287">
        <v>3</v>
      </c>
      <c r="C43" s="1288" t="e">
        <f>'Список мероприятий'!W14</f>
        <v>#DIV/0!</v>
      </c>
      <c r="D43" s="1287" t="e">
        <f>IF(E43=0,"","Замена окон МОП")</f>
        <v>#DIV/0!</v>
      </c>
      <c r="E43" s="1289" t="e">
        <f t="shared" si="0"/>
        <v>#DIV/0!</v>
      </c>
      <c r="F43" s="1287" t="e">
        <f t="shared" si="1"/>
        <v>#DIV/0!</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2">
      <c r="A44" s="302"/>
      <c r="B44" s="1287">
        <v>4</v>
      </c>
      <c r="C44" s="1288" t="e">
        <f>'Список мероприятий'!W20</f>
        <v>#DIV/0!</v>
      </c>
      <c r="D44" s="1287" t="e">
        <f>IF(E44=0,"","Повыш-е теплозащ. совмещенной кровли")</f>
        <v>#DIV/0!</v>
      </c>
      <c r="E44" s="1289" t="e">
        <f t="shared" si="0"/>
        <v>#DIV/0!</v>
      </c>
      <c r="F44" s="1287" t="e">
        <f t="shared" si="1"/>
        <v>#DIV/0!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2">
      <c r="A45" s="302"/>
      <c r="B45" s="1287">
        <v>5</v>
      </c>
      <c r="C45" s="1288" t="e">
        <f>'Список мероприятий'!W24</f>
        <v>#DIV/0!</v>
      </c>
      <c r="D45" s="1287" t="e">
        <f>IF(E45=0,"","Устройство теплого чердака")</f>
        <v>#DIV/0!</v>
      </c>
      <c r="E45" s="1289" t="e">
        <f t="shared" si="0"/>
        <v>#DIV/0!</v>
      </c>
      <c r="F45" s="1287" t="e">
        <f t="shared" si="1"/>
        <v>#DIV/0!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2">
      <c r="A46" s="302"/>
      <c r="B46" s="1287">
        <v>6</v>
      </c>
      <c r="C46" s="1288" t="e">
        <f>'Список мероприятий'!W27</f>
        <v>#DIV/0!</v>
      </c>
      <c r="D46" s="1287" t="e">
        <f>IF(E46=0,"","Повыш-е теплозащ. чердачных перекрытий")</f>
        <v>#DIV/0!</v>
      </c>
      <c r="E46" s="1289" t="e">
        <f t="shared" si="0"/>
        <v>#DIV/0!</v>
      </c>
      <c r="F46" s="1287" t="e">
        <f t="shared" si="1"/>
        <v>#DIV/0!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2">
      <c r="A47" s="302"/>
      <c r="B47" s="1287">
        <v>7</v>
      </c>
      <c r="C47" s="1288" t="e">
        <f>'Список мероприятий'!W32</f>
        <v>#VALUE!</v>
      </c>
      <c r="D47" s="1287" t="e">
        <f>IF(E47=0,"","Ремонт трубопровода СО")</f>
        <v>#DIV/0!</v>
      </c>
      <c r="E47" s="1289" t="e">
        <f t="shared" si="0"/>
        <v>#DIV/0!</v>
      </c>
      <c r="F47" s="1287" t="e">
        <f>$C50*$C$19</f>
        <v>#DIV/0!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2">
      <c r="A48" s="302"/>
      <c r="B48" s="1287">
        <v>8</v>
      </c>
      <c r="C48" s="1288" t="e">
        <f>'Список мероприятий'!W34</f>
        <v>#DIV/0!</v>
      </c>
      <c r="D48" s="1287" t="e">
        <f>IF(E48=0,"","Ремонт трубопровода ГВС")</f>
        <v>#DIV/0!</v>
      </c>
      <c r="E48" s="1289" t="e">
        <f t="shared" si="0"/>
        <v>#DIV/0!</v>
      </c>
      <c r="F48" s="1287" t="e">
        <f>$C51*$C$19</f>
        <v>#DIV/0!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2">
      <c r="A49" s="302"/>
      <c r="B49" s="1287">
        <v>9</v>
      </c>
      <c r="C49" s="1288" t="e">
        <f>'Список мероприятий'!W35</f>
        <v>#DIV/0!</v>
      </c>
      <c r="D49" s="1287" t="e">
        <f>IF(E49=0,"","Устройство циркуляции ГВС")</f>
        <v>#DIV/0!</v>
      </c>
      <c r="E49" s="1289" t="e">
        <f t="shared" si="0"/>
        <v>#DIV/0!</v>
      </c>
      <c r="F49" s="1287" t="e">
        <f>$C52*$C$19</f>
        <v>#DIV/0!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2">
      <c r="A50" s="302"/>
      <c r="B50" s="1287">
        <v>10</v>
      </c>
      <c r="C50" s="1288" t="e">
        <f>'Список мероприятий'!W37</f>
        <v>#DIV/0!</v>
      </c>
      <c r="D50" s="1287" t="e">
        <f>IF(E50=0,"","Установка узлов управления")</f>
        <v>#VALUE!</v>
      </c>
      <c r="E50" s="1289" t="e">
        <f t="shared" si="0"/>
        <v>#VALUE!</v>
      </c>
      <c r="F50" s="1287" t="e">
        <f>$C47*$C$19</f>
        <v>#VALUE!</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2">
      <c r="A51" s="302"/>
      <c r="B51" s="1287">
        <v>11</v>
      </c>
      <c r="C51" s="1288" t="e">
        <f>'Список мероприятий'!W38</f>
        <v>#DIV/0!</v>
      </c>
      <c r="D51" s="1287" t="e">
        <f>IF(E51=0,"","Модернизация ИТП")</f>
        <v>#DIV/0!</v>
      </c>
      <c r="E51" s="1289" t="e">
        <f t="shared" si="0"/>
        <v>#DIV/0!</v>
      </c>
      <c r="F51" s="1287" t="e">
        <f>$C48*$C$19</f>
        <v>#DIV/0!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2">
      <c r="A52" s="302"/>
      <c r="B52" s="1287">
        <v>12</v>
      </c>
      <c r="C52" s="1288" t="e">
        <f>'Список мероприятий'!W39</f>
        <v>#DIV/0!</v>
      </c>
      <c r="D52" s="1287" t="e">
        <f>IF(E52=0,"","Установка регуляторов температуры ГВС")</f>
        <v>#DIV/0!</v>
      </c>
      <c r="E52" s="1289" t="e">
        <f t="shared" si="0"/>
        <v>#DIV/0!</v>
      </c>
      <c r="F52" s="1287" t="e">
        <f>$C49*$C$19</f>
        <v>#DIV/0!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2">
      <c r="A53" s="302"/>
      <c r="B53" s="1287">
        <v>13</v>
      </c>
      <c r="C53" s="1288" t="e">
        <f>'Список мероприятий'!Y42</f>
        <v>#DIV/0!</v>
      </c>
      <c r="D53" s="1287" t="e">
        <f>IF(E53=0,"","Установка ЧРП на насосное оборудование")</f>
        <v>#DIV/0!</v>
      </c>
      <c r="E53" s="1289" t="e">
        <f t="shared" si="0"/>
        <v>#DIV/0!</v>
      </c>
      <c r="F53" s="1287" t="e">
        <f t="shared" ref="F53:F58" si="2">$C53*$C$22</f>
        <v>#DIV/0!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2">
      <c r="A54" s="302"/>
      <c r="B54" s="1287">
        <v>14</v>
      </c>
      <c r="C54" s="1288" t="e">
        <f>'Список мероприятий'!Y47</f>
        <v>#DIV/0!</v>
      </c>
      <c r="D54" s="1287" t="e">
        <f>IF(E54=0,"","Замена насосного оборудования")</f>
        <v>#DIV/0!</v>
      </c>
      <c r="E54" s="1289" t="e">
        <f t="shared" si="0"/>
        <v>#DIV/0!</v>
      </c>
      <c r="F54" s="1287" t="e">
        <f t="shared" si="2"/>
        <v>#DIV/0!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2">
      <c r="A55" s="302"/>
      <c r="B55" s="1287">
        <v>15</v>
      </c>
      <c r="C55" s="1288" t="e">
        <f>'Список мероприятий'!Y52</f>
        <v>#DIV/0!</v>
      </c>
      <c r="D55" s="1287" t="e">
        <f>IF(E55=0,"","Установка УКРМ на насосное оборудование")</f>
        <v>#DIV/0!</v>
      </c>
      <c r="E55" s="1289" t="e">
        <f t="shared" si="0"/>
        <v>#DIV/0!</v>
      </c>
      <c r="F55" s="1287" t="e">
        <f t="shared" si="2"/>
        <v>#DIV/0!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2">
      <c r="A56" s="302"/>
      <c r="B56" s="1287">
        <v>16</v>
      </c>
      <c r="C56" s="1288" t="e">
        <f>'Список мероприятий'!Y55</f>
        <v>#DIV/0!</v>
      </c>
      <c r="D56" s="1287" t="e">
        <f>IF(E56=0,"","Ремонт лифта")</f>
        <v>#DIV/0!</v>
      </c>
      <c r="E56" s="1289" t="e">
        <f t="shared" si="0"/>
        <v>#DIV/0!</v>
      </c>
      <c r="F56" s="1287" t="e">
        <f t="shared" si="2"/>
        <v>#DIV/0!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2">
      <c r="A57" s="302"/>
      <c r="B57" s="1287">
        <v>17</v>
      </c>
      <c r="C57" s="1288" t="e">
        <f>'Список мероприятий'!Y56</f>
        <v>#DIV/0!</v>
      </c>
      <c r="D57" s="1287" t="e">
        <f>IF(E57=0,"","Замена лифта")</f>
        <v>#DIV/0!</v>
      </c>
      <c r="E57" s="1289" t="e">
        <f t="shared" si="0"/>
        <v>#DIV/0!</v>
      </c>
      <c r="F57" s="1287" t="e">
        <f t="shared" si="2"/>
        <v>#DIV/0!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2">
      <c r="A58" s="302"/>
      <c r="B58" s="1287">
        <v>18</v>
      </c>
      <c r="C58" s="1288" t="e">
        <f>'Список мероприятий'!Y58</f>
        <v>#DIV/0!</v>
      </c>
      <c r="D58" s="1287" t="e">
        <f>IF(E58=0,"","Установка УКРМ на лифт")</f>
        <v>#DIV/0!</v>
      </c>
      <c r="E58" s="1289" t="e">
        <f t="shared" si="0"/>
        <v>#DIV/0!</v>
      </c>
      <c r="F58" s="1287" t="e">
        <f t="shared" si="2"/>
        <v>#DIV/0!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2">
      <c r="A59" s="302"/>
      <c r="B59" s="1287">
        <v>19</v>
      </c>
      <c r="C59" s="1288" t="e">
        <f>'Список мероприятий'!W62</f>
        <v>#DIV/0!</v>
      </c>
      <c r="D59" s="1287" t="e">
        <f>IF(E59=0,"","Повыш-е теплозащ. пола по грунту")</f>
        <v>#DIV/0!</v>
      </c>
      <c r="E59" s="1289" t="e">
        <f t="shared" si="0"/>
        <v>#DIV/0!</v>
      </c>
      <c r="F59" s="1287" t="e">
        <f>$C59*$C$19</f>
        <v>#DIV/0!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2">
      <c r="A60" s="302"/>
      <c r="B60" s="1287">
        <v>20</v>
      </c>
      <c r="C60" s="1288" t="e">
        <f>'Список мероприятий'!W67</f>
        <v>#DIV/0!</v>
      </c>
      <c r="D60" s="1287" t="e">
        <f>IF(E60=0,"","Повыш-е теплозащ. перекрытий над подвалом")</f>
        <v>#DIV/0!</v>
      </c>
      <c r="E60" s="1289" t="e">
        <f t="shared" si="0"/>
        <v>#DIV/0!</v>
      </c>
      <c r="F60" s="1287" t="e">
        <f>$C60*$C$19</f>
        <v>#DIV/0!</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2">
      <c r="A61" s="302"/>
      <c r="B61" s="1287">
        <v>21</v>
      </c>
      <c r="C61" s="1288" t="e">
        <f>'Список мероприятий'!W73</f>
        <v>#DIV/0!</v>
      </c>
      <c r="D61" s="1287" t="e">
        <f>IF(E61=0,"","Утепление наружных дверей")</f>
        <v>#DIV/0!</v>
      </c>
      <c r="E61" s="1289" t="e">
        <f t="shared" si="0"/>
        <v>#DIV/0!</v>
      </c>
      <c r="F61" s="1287" t="e">
        <f>$C61*$C$19</f>
        <v>#DIV/0!</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2">
      <c r="A62" s="302"/>
      <c r="B62" s="1287">
        <v>22</v>
      </c>
      <c r="C62" s="1288" t="e">
        <f>'Список мероприятий'!Y74</f>
        <v>#DIV/0!</v>
      </c>
      <c r="D62" s="1287" t="e">
        <f>IF(E62=0,"","Замена осветительных приборов")</f>
        <v>#DIV/0!</v>
      </c>
      <c r="E62" s="1289" t="e">
        <f t="shared" si="0"/>
        <v>#DIV/0!</v>
      </c>
      <c r="F62" s="1287" t="e">
        <f>$C62*$C$22</f>
        <v>#DIV/0!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2">
      <c r="A63" s="302"/>
      <c r="B63" s="1287">
        <v>23</v>
      </c>
      <c r="C63" s="1288" t="e">
        <f>'Список мероприятий'!Y76</f>
        <v>#DIV/0!</v>
      </c>
      <c r="D63" s="1287" t="e">
        <f>IF(E63=0,"","Установка датчиков движения")</f>
        <v>#DIV/0!</v>
      </c>
      <c r="E63" s="1289" t="e">
        <f t="shared" si="0"/>
        <v>#DIV/0!</v>
      </c>
      <c r="F63" s="1287" t="e">
        <f>$C63*$C$22</f>
        <v>#DIV/0!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2">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2">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2">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2">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2">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2">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2">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2">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2">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2">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2">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2">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2">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2">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2">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2">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2">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2">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2">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2">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2">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2">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2">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2">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2">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2">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2">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2">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2">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2">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2">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2">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2">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2">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2">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2">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2">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2">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2">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2">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2">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2">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2">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2">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2">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2">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2">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2">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2">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2">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2">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2">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2">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2">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2">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2">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2">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2">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2">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2">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2">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2">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2">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2">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2">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2">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2">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2">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2">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2">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2">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2">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2">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2">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2">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2">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2">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2">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2">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2">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2">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2">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2">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2">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2">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2">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2">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2">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2">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2">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2">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2">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2">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2">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2">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2">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2">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2">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2">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2">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2">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2">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2">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2">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2">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2">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2">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2">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2">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2">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2">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2">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2">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2">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2">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2">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2">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2">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2">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2">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2">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2">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2">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2">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2">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2">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6" activePane="bottomLeft" state="frozen"/>
      <selection pane="bottomLeft" activeCell="B1" sqref="B1:D1"/>
    </sheetView>
  </sheetViews>
  <sheetFormatPr defaultRowHeight="12.75" x14ac:dyDescent="0.2"/>
  <cols>
    <col min="1" max="1" width="2.5703125" style="75" customWidth="1"/>
    <col min="2" max="3" width="4.28515625" style="76" customWidth="1"/>
    <col min="4" max="4" width="39" style="77" customWidth="1"/>
    <col min="5" max="5" width="65" style="78" customWidth="1"/>
    <col min="6" max="6" width="9.140625" style="77"/>
    <col min="7" max="7" width="32.85546875" style="79" hidden="1" customWidth="1"/>
    <col min="8" max="8" width="33.5703125" style="79" hidden="1" customWidth="1"/>
    <col min="9" max="9" width="28.140625" style="79" hidden="1" customWidth="1"/>
    <col min="10" max="256" width="9.140625" style="58"/>
    <col min="257" max="257" width="2.5703125" style="58" customWidth="1"/>
    <col min="258" max="259" width="4.28515625" style="58" customWidth="1"/>
    <col min="260" max="260" width="39" style="58" customWidth="1"/>
    <col min="261" max="261" width="55.7109375" style="58" customWidth="1"/>
    <col min="262" max="262" width="9.140625" style="58"/>
    <col min="263" max="263" width="9.140625" style="58" customWidth="1"/>
    <col min="264" max="512" width="9.140625" style="58"/>
    <col min="513" max="513" width="2.5703125" style="58" customWidth="1"/>
    <col min="514" max="515" width="4.28515625" style="58" customWidth="1"/>
    <col min="516" max="516" width="39" style="58" customWidth="1"/>
    <col min="517" max="517" width="55.7109375" style="58" customWidth="1"/>
    <col min="518" max="518" width="9.140625" style="58"/>
    <col min="519" max="519" width="9.140625" style="58" customWidth="1"/>
    <col min="520" max="768" width="9.140625" style="58"/>
    <col min="769" max="769" width="2.5703125" style="58" customWidth="1"/>
    <col min="770" max="771" width="4.28515625" style="58" customWidth="1"/>
    <col min="772" max="772" width="39" style="58" customWidth="1"/>
    <col min="773" max="773" width="55.7109375" style="58" customWidth="1"/>
    <col min="774" max="774" width="9.140625" style="58"/>
    <col min="775" max="775" width="9.140625" style="58" customWidth="1"/>
    <col min="776" max="1024" width="9.140625" style="58"/>
    <col min="1025" max="1025" width="2.5703125" style="58" customWidth="1"/>
    <col min="1026" max="1027" width="4.28515625" style="58" customWidth="1"/>
    <col min="1028" max="1028" width="39" style="58" customWidth="1"/>
    <col min="1029" max="1029" width="55.7109375" style="58" customWidth="1"/>
    <col min="1030" max="1030" width="9.140625" style="58"/>
    <col min="1031" max="1031" width="9.140625" style="58" customWidth="1"/>
    <col min="1032" max="1280" width="9.140625" style="58"/>
    <col min="1281" max="1281" width="2.5703125" style="58" customWidth="1"/>
    <col min="1282" max="1283" width="4.28515625" style="58" customWidth="1"/>
    <col min="1284" max="1284" width="39" style="58" customWidth="1"/>
    <col min="1285" max="1285" width="55.7109375" style="58" customWidth="1"/>
    <col min="1286" max="1286" width="9.140625" style="58"/>
    <col min="1287" max="1287" width="9.140625" style="58" customWidth="1"/>
    <col min="1288" max="1536" width="9.140625" style="58"/>
    <col min="1537" max="1537" width="2.5703125" style="58" customWidth="1"/>
    <col min="1538" max="1539" width="4.28515625" style="58" customWidth="1"/>
    <col min="1540" max="1540" width="39" style="58" customWidth="1"/>
    <col min="1541" max="1541" width="55.7109375" style="58" customWidth="1"/>
    <col min="1542" max="1542" width="9.140625" style="58"/>
    <col min="1543" max="1543" width="9.140625" style="58" customWidth="1"/>
    <col min="1544" max="1792" width="9.140625" style="58"/>
    <col min="1793" max="1793" width="2.5703125" style="58" customWidth="1"/>
    <col min="1794" max="1795" width="4.28515625" style="58" customWidth="1"/>
    <col min="1796" max="1796" width="39" style="58" customWidth="1"/>
    <col min="1797" max="1797" width="55.7109375" style="58" customWidth="1"/>
    <col min="1798" max="1798" width="9.140625" style="58"/>
    <col min="1799" max="1799" width="9.140625" style="58" customWidth="1"/>
    <col min="1800" max="2048" width="9.140625" style="58"/>
    <col min="2049" max="2049" width="2.5703125" style="58" customWidth="1"/>
    <col min="2050" max="2051" width="4.28515625" style="58" customWidth="1"/>
    <col min="2052" max="2052" width="39" style="58" customWidth="1"/>
    <col min="2053" max="2053" width="55.7109375" style="58" customWidth="1"/>
    <col min="2054" max="2054" width="9.140625" style="58"/>
    <col min="2055" max="2055" width="9.140625" style="58" customWidth="1"/>
    <col min="2056" max="2304" width="9.140625" style="58"/>
    <col min="2305" max="2305" width="2.5703125" style="58" customWidth="1"/>
    <col min="2306" max="2307" width="4.28515625" style="58" customWidth="1"/>
    <col min="2308" max="2308" width="39" style="58" customWidth="1"/>
    <col min="2309" max="2309" width="55.7109375" style="58" customWidth="1"/>
    <col min="2310" max="2310" width="9.140625" style="58"/>
    <col min="2311" max="2311" width="9.140625" style="58" customWidth="1"/>
    <col min="2312" max="2560" width="9.140625" style="58"/>
    <col min="2561" max="2561" width="2.5703125" style="58" customWidth="1"/>
    <col min="2562" max="2563" width="4.28515625" style="58" customWidth="1"/>
    <col min="2564" max="2564" width="39" style="58" customWidth="1"/>
    <col min="2565" max="2565" width="55.7109375" style="58" customWidth="1"/>
    <col min="2566" max="2566" width="9.140625" style="58"/>
    <col min="2567" max="2567" width="9.140625" style="58" customWidth="1"/>
    <col min="2568" max="2816" width="9.140625" style="58"/>
    <col min="2817" max="2817" width="2.5703125" style="58" customWidth="1"/>
    <col min="2818" max="2819" width="4.28515625" style="58" customWidth="1"/>
    <col min="2820" max="2820" width="39" style="58" customWidth="1"/>
    <col min="2821" max="2821" width="55.7109375" style="58" customWidth="1"/>
    <col min="2822" max="2822" width="9.140625" style="58"/>
    <col min="2823" max="2823" width="9.140625" style="58" customWidth="1"/>
    <col min="2824" max="3072" width="9.140625" style="58"/>
    <col min="3073" max="3073" width="2.5703125" style="58" customWidth="1"/>
    <col min="3074" max="3075" width="4.28515625" style="58" customWidth="1"/>
    <col min="3076" max="3076" width="39" style="58" customWidth="1"/>
    <col min="3077" max="3077" width="55.7109375" style="58" customWidth="1"/>
    <col min="3078" max="3078" width="9.140625" style="58"/>
    <col min="3079" max="3079" width="9.140625" style="58" customWidth="1"/>
    <col min="3080" max="3328" width="9.140625" style="58"/>
    <col min="3329" max="3329" width="2.5703125" style="58" customWidth="1"/>
    <col min="3330" max="3331" width="4.28515625" style="58" customWidth="1"/>
    <col min="3332" max="3332" width="39" style="58" customWidth="1"/>
    <col min="3333" max="3333" width="55.7109375" style="58" customWidth="1"/>
    <col min="3334" max="3334" width="9.140625" style="58"/>
    <col min="3335" max="3335" width="9.140625" style="58" customWidth="1"/>
    <col min="3336" max="3584" width="9.140625" style="58"/>
    <col min="3585" max="3585" width="2.5703125" style="58" customWidth="1"/>
    <col min="3586" max="3587" width="4.28515625" style="58" customWidth="1"/>
    <col min="3588" max="3588" width="39" style="58" customWidth="1"/>
    <col min="3589" max="3589" width="55.7109375" style="58" customWidth="1"/>
    <col min="3590" max="3590" width="9.140625" style="58"/>
    <col min="3591" max="3591" width="9.140625" style="58" customWidth="1"/>
    <col min="3592" max="3840" width="9.140625" style="58"/>
    <col min="3841" max="3841" width="2.5703125" style="58" customWidth="1"/>
    <col min="3842" max="3843" width="4.28515625" style="58" customWidth="1"/>
    <col min="3844" max="3844" width="39" style="58" customWidth="1"/>
    <col min="3845" max="3845" width="55.7109375" style="58" customWidth="1"/>
    <col min="3846" max="3846" width="9.140625" style="58"/>
    <col min="3847" max="3847" width="9.140625" style="58" customWidth="1"/>
    <col min="3848" max="4096" width="9.140625" style="58"/>
    <col min="4097" max="4097" width="2.5703125" style="58" customWidth="1"/>
    <col min="4098" max="4099" width="4.28515625" style="58" customWidth="1"/>
    <col min="4100" max="4100" width="39" style="58" customWidth="1"/>
    <col min="4101" max="4101" width="55.7109375" style="58" customWidth="1"/>
    <col min="4102" max="4102" width="9.140625" style="58"/>
    <col min="4103" max="4103" width="9.140625" style="58" customWidth="1"/>
    <col min="4104" max="4352" width="9.140625" style="58"/>
    <col min="4353" max="4353" width="2.5703125" style="58" customWidth="1"/>
    <col min="4354" max="4355" width="4.28515625" style="58" customWidth="1"/>
    <col min="4356" max="4356" width="39" style="58" customWidth="1"/>
    <col min="4357" max="4357" width="55.7109375" style="58" customWidth="1"/>
    <col min="4358" max="4358" width="9.140625" style="58"/>
    <col min="4359" max="4359" width="9.140625" style="58" customWidth="1"/>
    <col min="4360" max="4608" width="9.140625" style="58"/>
    <col min="4609" max="4609" width="2.5703125" style="58" customWidth="1"/>
    <col min="4610" max="4611" width="4.28515625" style="58" customWidth="1"/>
    <col min="4612" max="4612" width="39" style="58" customWidth="1"/>
    <col min="4613" max="4613" width="55.7109375" style="58" customWidth="1"/>
    <col min="4614" max="4614" width="9.140625" style="58"/>
    <col min="4615" max="4615" width="9.140625" style="58" customWidth="1"/>
    <col min="4616" max="4864" width="9.140625" style="58"/>
    <col min="4865" max="4865" width="2.5703125" style="58" customWidth="1"/>
    <col min="4866" max="4867" width="4.28515625" style="58" customWidth="1"/>
    <col min="4868" max="4868" width="39" style="58" customWidth="1"/>
    <col min="4869" max="4869" width="55.7109375" style="58" customWidth="1"/>
    <col min="4870" max="4870" width="9.140625" style="58"/>
    <col min="4871" max="4871" width="9.140625" style="58" customWidth="1"/>
    <col min="4872" max="5120" width="9.140625" style="58"/>
    <col min="5121" max="5121" width="2.5703125" style="58" customWidth="1"/>
    <col min="5122" max="5123" width="4.28515625" style="58" customWidth="1"/>
    <col min="5124" max="5124" width="39" style="58" customWidth="1"/>
    <col min="5125" max="5125" width="55.7109375" style="58" customWidth="1"/>
    <col min="5126" max="5126" width="9.140625" style="58"/>
    <col min="5127" max="5127" width="9.140625" style="58" customWidth="1"/>
    <col min="5128" max="5376" width="9.140625" style="58"/>
    <col min="5377" max="5377" width="2.5703125" style="58" customWidth="1"/>
    <col min="5378" max="5379" width="4.28515625" style="58" customWidth="1"/>
    <col min="5380" max="5380" width="39" style="58" customWidth="1"/>
    <col min="5381" max="5381" width="55.7109375" style="58" customWidth="1"/>
    <col min="5382" max="5382" width="9.140625" style="58"/>
    <col min="5383" max="5383" width="9.140625" style="58" customWidth="1"/>
    <col min="5384" max="5632" width="9.140625" style="58"/>
    <col min="5633" max="5633" width="2.5703125" style="58" customWidth="1"/>
    <col min="5634" max="5635" width="4.28515625" style="58" customWidth="1"/>
    <col min="5636" max="5636" width="39" style="58" customWidth="1"/>
    <col min="5637" max="5637" width="55.7109375" style="58" customWidth="1"/>
    <col min="5638" max="5638" width="9.140625" style="58"/>
    <col min="5639" max="5639" width="9.140625" style="58" customWidth="1"/>
    <col min="5640" max="5888" width="9.140625" style="58"/>
    <col min="5889" max="5889" width="2.5703125" style="58" customWidth="1"/>
    <col min="5890" max="5891" width="4.28515625" style="58" customWidth="1"/>
    <col min="5892" max="5892" width="39" style="58" customWidth="1"/>
    <col min="5893" max="5893" width="55.7109375" style="58" customWidth="1"/>
    <col min="5894" max="5894" width="9.140625" style="58"/>
    <col min="5895" max="5895" width="9.140625" style="58" customWidth="1"/>
    <col min="5896" max="6144" width="9.140625" style="58"/>
    <col min="6145" max="6145" width="2.5703125" style="58" customWidth="1"/>
    <col min="6146" max="6147" width="4.28515625" style="58" customWidth="1"/>
    <col min="6148" max="6148" width="39" style="58" customWidth="1"/>
    <col min="6149" max="6149" width="55.7109375" style="58" customWidth="1"/>
    <col min="6150" max="6150" width="9.140625" style="58"/>
    <col min="6151" max="6151" width="9.140625" style="58" customWidth="1"/>
    <col min="6152" max="6400" width="9.140625" style="58"/>
    <col min="6401" max="6401" width="2.5703125" style="58" customWidth="1"/>
    <col min="6402" max="6403" width="4.28515625" style="58" customWidth="1"/>
    <col min="6404" max="6404" width="39" style="58" customWidth="1"/>
    <col min="6405" max="6405" width="55.7109375" style="58" customWidth="1"/>
    <col min="6406" max="6406" width="9.140625" style="58"/>
    <col min="6407" max="6407" width="9.140625" style="58" customWidth="1"/>
    <col min="6408" max="6656" width="9.140625" style="58"/>
    <col min="6657" max="6657" width="2.5703125" style="58" customWidth="1"/>
    <col min="6658" max="6659" width="4.28515625" style="58" customWidth="1"/>
    <col min="6660" max="6660" width="39" style="58" customWidth="1"/>
    <col min="6661" max="6661" width="55.7109375" style="58" customWidth="1"/>
    <col min="6662" max="6662" width="9.140625" style="58"/>
    <col min="6663" max="6663" width="9.140625" style="58" customWidth="1"/>
    <col min="6664" max="6912" width="9.140625" style="58"/>
    <col min="6913" max="6913" width="2.5703125" style="58" customWidth="1"/>
    <col min="6914" max="6915" width="4.28515625" style="58" customWidth="1"/>
    <col min="6916" max="6916" width="39" style="58" customWidth="1"/>
    <col min="6917" max="6917" width="55.7109375" style="58" customWidth="1"/>
    <col min="6918" max="6918" width="9.140625" style="58"/>
    <col min="6919" max="6919" width="9.140625" style="58" customWidth="1"/>
    <col min="6920" max="7168" width="9.140625" style="58"/>
    <col min="7169" max="7169" width="2.5703125" style="58" customWidth="1"/>
    <col min="7170" max="7171" width="4.28515625" style="58" customWidth="1"/>
    <col min="7172" max="7172" width="39" style="58" customWidth="1"/>
    <col min="7173" max="7173" width="55.7109375" style="58" customWidth="1"/>
    <col min="7174" max="7174" width="9.140625" style="58"/>
    <col min="7175" max="7175" width="9.140625" style="58" customWidth="1"/>
    <col min="7176" max="7424" width="9.140625" style="58"/>
    <col min="7425" max="7425" width="2.5703125" style="58" customWidth="1"/>
    <col min="7426" max="7427" width="4.28515625" style="58" customWidth="1"/>
    <col min="7428" max="7428" width="39" style="58" customWidth="1"/>
    <col min="7429" max="7429" width="55.7109375" style="58" customWidth="1"/>
    <col min="7430" max="7430" width="9.140625" style="58"/>
    <col min="7431" max="7431" width="9.140625" style="58" customWidth="1"/>
    <col min="7432" max="7680" width="9.140625" style="58"/>
    <col min="7681" max="7681" width="2.5703125" style="58" customWidth="1"/>
    <col min="7682" max="7683" width="4.28515625" style="58" customWidth="1"/>
    <col min="7684" max="7684" width="39" style="58" customWidth="1"/>
    <col min="7685" max="7685" width="55.7109375" style="58" customWidth="1"/>
    <col min="7686" max="7686" width="9.140625" style="58"/>
    <col min="7687" max="7687" width="9.140625" style="58" customWidth="1"/>
    <col min="7688" max="7936" width="9.140625" style="58"/>
    <col min="7937" max="7937" width="2.5703125" style="58" customWidth="1"/>
    <col min="7938" max="7939" width="4.28515625" style="58" customWidth="1"/>
    <col min="7940" max="7940" width="39" style="58" customWidth="1"/>
    <col min="7941" max="7941" width="55.7109375" style="58" customWidth="1"/>
    <col min="7942" max="7942" width="9.140625" style="58"/>
    <col min="7943" max="7943" width="9.140625" style="58" customWidth="1"/>
    <col min="7944" max="8192" width="9.140625" style="58"/>
    <col min="8193" max="8193" width="2.5703125" style="58" customWidth="1"/>
    <col min="8194" max="8195" width="4.28515625" style="58" customWidth="1"/>
    <col min="8196" max="8196" width="39" style="58" customWidth="1"/>
    <col min="8197" max="8197" width="55.7109375" style="58" customWidth="1"/>
    <col min="8198" max="8198" width="9.140625" style="58"/>
    <col min="8199" max="8199" width="9.140625" style="58" customWidth="1"/>
    <col min="8200" max="8448" width="9.140625" style="58"/>
    <col min="8449" max="8449" width="2.5703125" style="58" customWidth="1"/>
    <col min="8450" max="8451" width="4.28515625" style="58" customWidth="1"/>
    <col min="8452" max="8452" width="39" style="58" customWidth="1"/>
    <col min="8453" max="8453" width="55.7109375" style="58" customWidth="1"/>
    <col min="8454" max="8454" width="9.140625" style="58"/>
    <col min="8455" max="8455" width="9.140625" style="58" customWidth="1"/>
    <col min="8456" max="8704" width="9.140625" style="58"/>
    <col min="8705" max="8705" width="2.5703125" style="58" customWidth="1"/>
    <col min="8706" max="8707" width="4.28515625" style="58" customWidth="1"/>
    <col min="8708" max="8708" width="39" style="58" customWidth="1"/>
    <col min="8709" max="8709" width="55.7109375" style="58" customWidth="1"/>
    <col min="8710" max="8710" width="9.140625" style="58"/>
    <col min="8711" max="8711" width="9.140625" style="58" customWidth="1"/>
    <col min="8712" max="8960" width="9.140625" style="58"/>
    <col min="8961" max="8961" width="2.5703125" style="58" customWidth="1"/>
    <col min="8962" max="8963" width="4.28515625" style="58" customWidth="1"/>
    <col min="8964" max="8964" width="39" style="58" customWidth="1"/>
    <col min="8965" max="8965" width="55.7109375" style="58" customWidth="1"/>
    <col min="8966" max="8966" width="9.140625" style="58"/>
    <col min="8967" max="8967" width="9.140625" style="58" customWidth="1"/>
    <col min="8968" max="9216" width="9.140625" style="58"/>
    <col min="9217" max="9217" width="2.5703125" style="58" customWidth="1"/>
    <col min="9218" max="9219" width="4.28515625" style="58" customWidth="1"/>
    <col min="9220" max="9220" width="39" style="58" customWidth="1"/>
    <col min="9221" max="9221" width="55.7109375" style="58" customWidth="1"/>
    <col min="9222" max="9222" width="9.140625" style="58"/>
    <col min="9223" max="9223" width="9.140625" style="58" customWidth="1"/>
    <col min="9224" max="9472" width="9.140625" style="58"/>
    <col min="9473" max="9473" width="2.5703125" style="58" customWidth="1"/>
    <col min="9474" max="9475" width="4.28515625" style="58" customWidth="1"/>
    <col min="9476" max="9476" width="39" style="58" customWidth="1"/>
    <col min="9477" max="9477" width="55.7109375" style="58" customWidth="1"/>
    <col min="9478" max="9478" width="9.140625" style="58"/>
    <col min="9479" max="9479" width="9.140625" style="58" customWidth="1"/>
    <col min="9480" max="9728" width="9.140625" style="58"/>
    <col min="9729" max="9729" width="2.5703125" style="58" customWidth="1"/>
    <col min="9730" max="9731" width="4.28515625" style="58" customWidth="1"/>
    <col min="9732" max="9732" width="39" style="58" customWidth="1"/>
    <col min="9733" max="9733" width="55.7109375" style="58" customWidth="1"/>
    <col min="9734" max="9734" width="9.140625" style="58"/>
    <col min="9735" max="9735" width="9.140625" style="58" customWidth="1"/>
    <col min="9736" max="9984" width="9.140625" style="58"/>
    <col min="9985" max="9985" width="2.5703125" style="58" customWidth="1"/>
    <col min="9986" max="9987" width="4.28515625" style="58" customWidth="1"/>
    <col min="9988" max="9988" width="39" style="58" customWidth="1"/>
    <col min="9989" max="9989" width="55.7109375" style="58" customWidth="1"/>
    <col min="9990" max="9990" width="9.140625" style="58"/>
    <col min="9991" max="9991" width="9.140625" style="58" customWidth="1"/>
    <col min="9992" max="10240" width="9.140625" style="58"/>
    <col min="10241" max="10241" width="2.5703125" style="58" customWidth="1"/>
    <col min="10242" max="10243" width="4.28515625" style="58" customWidth="1"/>
    <col min="10244" max="10244" width="39" style="58" customWidth="1"/>
    <col min="10245" max="10245" width="55.7109375" style="58" customWidth="1"/>
    <col min="10246" max="10246" width="9.140625" style="58"/>
    <col min="10247" max="10247" width="9.140625" style="58" customWidth="1"/>
    <col min="10248" max="10496" width="9.140625" style="58"/>
    <col min="10497" max="10497" width="2.5703125" style="58" customWidth="1"/>
    <col min="10498" max="10499" width="4.28515625" style="58" customWidth="1"/>
    <col min="10500" max="10500" width="39" style="58" customWidth="1"/>
    <col min="10501" max="10501" width="55.7109375" style="58" customWidth="1"/>
    <col min="10502" max="10502" width="9.140625" style="58"/>
    <col min="10503" max="10503" width="9.140625" style="58" customWidth="1"/>
    <col min="10504" max="10752" width="9.140625" style="58"/>
    <col min="10753" max="10753" width="2.5703125" style="58" customWidth="1"/>
    <col min="10754" max="10755" width="4.28515625" style="58" customWidth="1"/>
    <col min="10756" max="10756" width="39" style="58" customWidth="1"/>
    <col min="10757" max="10757" width="55.7109375" style="58" customWidth="1"/>
    <col min="10758" max="10758" width="9.140625" style="58"/>
    <col min="10759" max="10759" width="9.140625" style="58" customWidth="1"/>
    <col min="10760" max="11008" width="9.140625" style="58"/>
    <col min="11009" max="11009" width="2.5703125" style="58" customWidth="1"/>
    <col min="11010" max="11011" width="4.28515625" style="58" customWidth="1"/>
    <col min="11012" max="11012" width="39" style="58" customWidth="1"/>
    <col min="11013" max="11013" width="55.7109375" style="58" customWidth="1"/>
    <col min="11014" max="11014" width="9.140625" style="58"/>
    <col min="11015" max="11015" width="9.140625" style="58" customWidth="1"/>
    <col min="11016" max="11264" width="9.140625" style="58"/>
    <col min="11265" max="11265" width="2.5703125" style="58" customWidth="1"/>
    <col min="11266" max="11267" width="4.28515625" style="58" customWidth="1"/>
    <col min="11268" max="11268" width="39" style="58" customWidth="1"/>
    <col min="11269" max="11269" width="55.7109375" style="58" customWidth="1"/>
    <col min="11270" max="11270" width="9.140625" style="58"/>
    <col min="11271" max="11271" width="9.140625" style="58" customWidth="1"/>
    <col min="11272" max="11520" width="9.140625" style="58"/>
    <col min="11521" max="11521" width="2.5703125" style="58" customWidth="1"/>
    <col min="11522" max="11523" width="4.28515625" style="58" customWidth="1"/>
    <col min="11524" max="11524" width="39" style="58" customWidth="1"/>
    <col min="11525" max="11525" width="55.7109375" style="58" customWidth="1"/>
    <col min="11526" max="11526" width="9.140625" style="58"/>
    <col min="11527" max="11527" width="9.140625" style="58" customWidth="1"/>
    <col min="11528" max="11776" width="9.140625" style="58"/>
    <col min="11777" max="11777" width="2.5703125" style="58" customWidth="1"/>
    <col min="11778" max="11779" width="4.28515625" style="58" customWidth="1"/>
    <col min="11780" max="11780" width="39" style="58" customWidth="1"/>
    <col min="11781" max="11781" width="55.7109375" style="58" customWidth="1"/>
    <col min="11782" max="11782" width="9.140625" style="58"/>
    <col min="11783" max="11783" width="9.140625" style="58" customWidth="1"/>
    <col min="11784" max="12032" width="9.140625" style="58"/>
    <col min="12033" max="12033" width="2.5703125" style="58" customWidth="1"/>
    <col min="12034" max="12035" width="4.28515625" style="58" customWidth="1"/>
    <col min="12036" max="12036" width="39" style="58" customWidth="1"/>
    <col min="12037" max="12037" width="55.7109375" style="58" customWidth="1"/>
    <col min="12038" max="12038" width="9.140625" style="58"/>
    <col min="12039" max="12039" width="9.140625" style="58" customWidth="1"/>
    <col min="12040" max="12288" width="9.140625" style="58"/>
    <col min="12289" max="12289" width="2.5703125" style="58" customWidth="1"/>
    <col min="12290" max="12291" width="4.28515625" style="58" customWidth="1"/>
    <col min="12292" max="12292" width="39" style="58" customWidth="1"/>
    <col min="12293" max="12293" width="55.7109375" style="58" customWidth="1"/>
    <col min="12294" max="12294" width="9.140625" style="58"/>
    <col min="12295" max="12295" width="9.140625" style="58" customWidth="1"/>
    <col min="12296" max="12544" width="9.140625" style="58"/>
    <col min="12545" max="12545" width="2.5703125" style="58" customWidth="1"/>
    <col min="12546" max="12547" width="4.28515625" style="58" customWidth="1"/>
    <col min="12548" max="12548" width="39" style="58" customWidth="1"/>
    <col min="12549" max="12549" width="55.7109375" style="58" customWidth="1"/>
    <col min="12550" max="12550" width="9.140625" style="58"/>
    <col min="12551" max="12551" width="9.140625" style="58" customWidth="1"/>
    <col min="12552" max="12800" width="9.140625" style="58"/>
    <col min="12801" max="12801" width="2.5703125" style="58" customWidth="1"/>
    <col min="12802" max="12803" width="4.28515625" style="58" customWidth="1"/>
    <col min="12804" max="12804" width="39" style="58" customWidth="1"/>
    <col min="12805" max="12805" width="55.7109375" style="58" customWidth="1"/>
    <col min="12806" max="12806" width="9.140625" style="58"/>
    <col min="12807" max="12807" width="9.140625" style="58" customWidth="1"/>
    <col min="12808" max="13056" width="9.140625" style="58"/>
    <col min="13057" max="13057" width="2.5703125" style="58" customWidth="1"/>
    <col min="13058" max="13059" width="4.28515625" style="58" customWidth="1"/>
    <col min="13060" max="13060" width="39" style="58" customWidth="1"/>
    <col min="13061" max="13061" width="55.7109375" style="58" customWidth="1"/>
    <col min="13062" max="13062" width="9.140625" style="58"/>
    <col min="13063" max="13063" width="9.140625" style="58" customWidth="1"/>
    <col min="13064" max="13312" width="9.140625" style="58"/>
    <col min="13313" max="13313" width="2.5703125" style="58" customWidth="1"/>
    <col min="13314" max="13315" width="4.28515625" style="58" customWidth="1"/>
    <col min="13316" max="13316" width="39" style="58" customWidth="1"/>
    <col min="13317" max="13317" width="55.7109375" style="58" customWidth="1"/>
    <col min="13318" max="13318" width="9.140625" style="58"/>
    <col min="13319" max="13319" width="9.140625" style="58" customWidth="1"/>
    <col min="13320" max="13568" width="9.140625" style="58"/>
    <col min="13569" max="13569" width="2.5703125" style="58" customWidth="1"/>
    <col min="13570" max="13571" width="4.28515625" style="58" customWidth="1"/>
    <col min="13572" max="13572" width="39" style="58" customWidth="1"/>
    <col min="13573" max="13573" width="55.7109375" style="58" customWidth="1"/>
    <col min="13574" max="13574" width="9.140625" style="58"/>
    <col min="13575" max="13575" width="9.140625" style="58" customWidth="1"/>
    <col min="13576" max="13824" width="9.140625" style="58"/>
    <col min="13825" max="13825" width="2.5703125" style="58" customWidth="1"/>
    <col min="13826" max="13827" width="4.28515625" style="58" customWidth="1"/>
    <col min="13828" max="13828" width="39" style="58" customWidth="1"/>
    <col min="13829" max="13829" width="55.7109375" style="58" customWidth="1"/>
    <col min="13830" max="13830" width="9.140625" style="58"/>
    <col min="13831" max="13831" width="9.140625" style="58" customWidth="1"/>
    <col min="13832" max="14080" width="9.140625" style="58"/>
    <col min="14081" max="14081" width="2.5703125" style="58" customWidth="1"/>
    <col min="14082" max="14083" width="4.28515625" style="58" customWidth="1"/>
    <col min="14084" max="14084" width="39" style="58" customWidth="1"/>
    <col min="14085" max="14085" width="55.7109375" style="58" customWidth="1"/>
    <col min="14086" max="14086" width="9.140625" style="58"/>
    <col min="14087" max="14087" width="9.140625" style="58" customWidth="1"/>
    <col min="14088" max="14336" width="9.140625" style="58"/>
    <col min="14337" max="14337" width="2.5703125" style="58" customWidth="1"/>
    <col min="14338" max="14339" width="4.28515625" style="58" customWidth="1"/>
    <col min="14340" max="14340" width="39" style="58" customWidth="1"/>
    <col min="14341" max="14341" width="55.7109375" style="58" customWidth="1"/>
    <col min="14342" max="14342" width="9.140625" style="58"/>
    <col min="14343" max="14343" width="9.140625" style="58" customWidth="1"/>
    <col min="14344" max="14592" width="9.140625" style="58"/>
    <col min="14593" max="14593" width="2.5703125" style="58" customWidth="1"/>
    <col min="14594" max="14595" width="4.28515625" style="58" customWidth="1"/>
    <col min="14596" max="14596" width="39" style="58" customWidth="1"/>
    <col min="14597" max="14597" width="55.7109375" style="58" customWidth="1"/>
    <col min="14598" max="14598" width="9.140625" style="58"/>
    <col min="14599" max="14599" width="9.140625" style="58" customWidth="1"/>
    <col min="14600" max="14848" width="9.140625" style="58"/>
    <col min="14849" max="14849" width="2.5703125" style="58" customWidth="1"/>
    <col min="14850" max="14851" width="4.28515625" style="58" customWidth="1"/>
    <col min="14852" max="14852" width="39" style="58" customWidth="1"/>
    <col min="14853" max="14853" width="55.7109375" style="58" customWidth="1"/>
    <col min="14854" max="14854" width="9.140625" style="58"/>
    <col min="14855" max="14855" width="9.140625" style="58" customWidth="1"/>
    <col min="14856" max="15104" width="9.140625" style="58"/>
    <col min="15105" max="15105" width="2.5703125" style="58" customWidth="1"/>
    <col min="15106" max="15107" width="4.28515625" style="58" customWidth="1"/>
    <col min="15108" max="15108" width="39" style="58" customWidth="1"/>
    <col min="15109" max="15109" width="55.7109375" style="58" customWidth="1"/>
    <col min="15110" max="15110" width="9.140625" style="58"/>
    <col min="15111" max="15111" width="9.140625" style="58" customWidth="1"/>
    <col min="15112" max="15360" width="9.140625" style="58"/>
    <col min="15361" max="15361" width="2.5703125" style="58" customWidth="1"/>
    <col min="15362" max="15363" width="4.28515625" style="58" customWidth="1"/>
    <col min="15364" max="15364" width="39" style="58" customWidth="1"/>
    <col min="15365" max="15365" width="55.7109375" style="58" customWidth="1"/>
    <col min="15366" max="15366" width="9.140625" style="58"/>
    <col min="15367" max="15367" width="9.140625" style="58" customWidth="1"/>
    <col min="15368" max="15616" width="9.140625" style="58"/>
    <col min="15617" max="15617" width="2.5703125" style="58" customWidth="1"/>
    <col min="15618" max="15619" width="4.28515625" style="58" customWidth="1"/>
    <col min="15620" max="15620" width="39" style="58" customWidth="1"/>
    <col min="15621" max="15621" width="55.7109375" style="58" customWidth="1"/>
    <col min="15622" max="15622" width="9.140625" style="58"/>
    <col min="15623" max="15623" width="9.140625" style="58" customWidth="1"/>
    <col min="15624" max="15872" width="9.140625" style="58"/>
    <col min="15873" max="15873" width="2.5703125" style="58" customWidth="1"/>
    <col min="15874" max="15875" width="4.28515625" style="58" customWidth="1"/>
    <col min="15876" max="15876" width="39" style="58" customWidth="1"/>
    <col min="15877" max="15877" width="55.7109375" style="58" customWidth="1"/>
    <col min="15878" max="15878" width="9.140625" style="58"/>
    <col min="15879" max="15879" width="9.140625" style="58" customWidth="1"/>
    <col min="15880" max="16128" width="9.140625" style="58"/>
    <col min="16129" max="16129" width="2.5703125" style="58" customWidth="1"/>
    <col min="16130" max="16131" width="4.28515625" style="58" customWidth="1"/>
    <col min="16132" max="16132" width="39" style="58" customWidth="1"/>
    <col min="16133" max="16133" width="55.7109375" style="58" customWidth="1"/>
    <col min="16134" max="16134" width="9.140625" style="58"/>
    <col min="16135" max="16135" width="9.140625" style="58" customWidth="1"/>
    <col min="16136" max="16384" width="9.140625" style="58"/>
  </cols>
  <sheetData>
    <row r="1" spans="1:26" s="56" customFormat="1" ht="15" customHeight="1" x14ac:dyDescent="0.2">
      <c r="A1" s="53"/>
      <c r="B1" s="1680" t="s">
        <v>1687</v>
      </c>
      <c r="C1" s="1680"/>
      <c r="D1" s="1680"/>
      <c r="E1" s="1519" t="s">
        <v>1680</v>
      </c>
      <c r="F1" s="54"/>
      <c r="G1" s="55"/>
      <c r="H1" s="55"/>
      <c r="I1" s="55"/>
    </row>
    <row r="2" spans="1:26" ht="53.25" customHeight="1" x14ac:dyDescent="0.2">
      <c r="A2" s="57"/>
      <c r="B2" s="1704" t="s">
        <v>1916</v>
      </c>
      <c r="C2" s="1704"/>
      <c r="D2" s="1704"/>
      <c r="E2" s="1704"/>
      <c r="F2" s="57"/>
      <c r="G2" s="57"/>
      <c r="H2" s="57"/>
      <c r="I2" s="57"/>
      <c r="J2" s="57"/>
      <c r="K2" s="57"/>
      <c r="L2" s="57"/>
      <c r="M2" s="57"/>
      <c r="N2" s="57"/>
      <c r="O2" s="57"/>
      <c r="P2" s="57"/>
      <c r="Q2" s="57"/>
      <c r="R2" s="57"/>
      <c r="S2" s="57"/>
      <c r="T2" s="57"/>
      <c r="U2" s="57"/>
      <c r="V2" s="57"/>
      <c r="W2" s="57"/>
      <c r="X2" s="57"/>
      <c r="Y2" s="57"/>
      <c r="Z2" s="57"/>
    </row>
    <row r="3" spans="1:26" ht="70.5" customHeight="1" x14ac:dyDescent="0.2">
      <c r="A3" s="57"/>
      <c r="B3" s="1705" t="s">
        <v>1917</v>
      </c>
      <c r="C3" s="1705"/>
      <c r="D3" s="1705"/>
      <c r="E3" s="1705"/>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2">
      <c r="A4" s="57"/>
      <c r="B4" s="1706" t="s">
        <v>1688</v>
      </c>
      <c r="C4" s="1707"/>
      <c r="D4" s="1707"/>
      <c r="E4" s="1708"/>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2">
      <c r="A5" s="57"/>
      <c r="B5" s="1709" t="s">
        <v>1689</v>
      </c>
      <c r="C5" s="1710"/>
      <c r="D5" s="1711"/>
      <c r="E5" s="60"/>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2">
      <c r="A6" s="57"/>
      <c r="B6" s="1701" t="s">
        <v>1692</v>
      </c>
      <c r="C6" s="1702"/>
      <c r="D6" s="1703"/>
      <c r="E6" s="61"/>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2">
      <c r="A7" s="57"/>
      <c r="B7" s="1701" t="s">
        <v>1695</v>
      </c>
      <c r="C7" s="1702"/>
      <c r="D7" s="1703"/>
      <c r="E7" s="61"/>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2">
      <c r="A8" s="57"/>
      <c r="B8" s="1701" t="s">
        <v>1698</v>
      </c>
      <c r="C8" s="1702"/>
      <c r="D8" s="1703"/>
      <c r="E8" s="62"/>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2">
      <c r="A9" s="57"/>
      <c r="B9" s="1701" t="s">
        <v>1701</v>
      </c>
      <c r="C9" s="1702"/>
      <c r="D9" s="1703"/>
      <c r="E9" s="61"/>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2">
      <c r="A10" s="57"/>
      <c r="B10" s="1701" t="s">
        <v>1703</v>
      </c>
      <c r="C10" s="1702"/>
      <c r="D10" s="1703"/>
      <c r="E10" s="61"/>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2">
      <c r="A11" s="57"/>
      <c r="B11" s="1701" t="s">
        <v>1705</v>
      </c>
      <c r="C11" s="1702"/>
      <c r="D11" s="1703"/>
      <c r="E11" s="61"/>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2">
      <c r="A12" s="57"/>
      <c r="B12" s="1701" t="s">
        <v>1706</v>
      </c>
      <c r="C12" s="1702"/>
      <c r="D12" s="1703"/>
      <c r="E12" s="61"/>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2">
      <c r="A13" s="57"/>
      <c r="B13" s="1720"/>
      <c r="C13" s="1721"/>
      <c r="D13" s="1722"/>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2">
      <c r="A14" s="57"/>
      <c r="B14" s="1706" t="s">
        <v>1918</v>
      </c>
      <c r="C14" s="1707"/>
      <c r="D14" s="1707"/>
      <c r="E14" s="1708"/>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2">
      <c r="A15" s="57"/>
      <c r="B15" s="64" t="s">
        <v>1707</v>
      </c>
      <c r="C15" s="1723" t="s">
        <v>1919</v>
      </c>
      <c r="D15" s="1723"/>
      <c r="E15" s="1724"/>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2">
      <c r="A16" s="57"/>
      <c r="B16" s="65" t="s">
        <v>1708</v>
      </c>
      <c r="C16" s="66"/>
      <c r="D16" s="1725" t="s">
        <v>1709</v>
      </c>
      <c r="E16" s="1726"/>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2">
      <c r="A17" s="57"/>
      <c r="B17" s="67" t="s">
        <v>1710</v>
      </c>
      <c r="C17" s="68"/>
      <c r="D17" s="1716" t="s">
        <v>1711</v>
      </c>
      <c r="E17" s="1717"/>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2">
      <c r="A18" s="57"/>
      <c r="B18" s="67" t="s">
        <v>1712</v>
      </c>
      <c r="C18" s="68"/>
      <c r="D18" s="1716" t="s">
        <v>1713</v>
      </c>
      <c r="E18" s="1717"/>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2">
      <c r="A19" s="57"/>
      <c r="B19" s="1712" t="s">
        <v>1714</v>
      </c>
      <c r="C19" s="1714"/>
      <c r="D19" s="1716" t="s">
        <v>1715</v>
      </c>
      <c r="E19" s="1717"/>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2">
      <c r="A20" s="57"/>
      <c r="B20" s="1713"/>
      <c r="C20" s="1715"/>
      <c r="D20" s="1718"/>
      <c r="E20" s="1719"/>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2">
      <c r="A21" s="57"/>
      <c r="B21" s="64" t="s">
        <v>1716</v>
      </c>
      <c r="C21" s="1723" t="s">
        <v>1920</v>
      </c>
      <c r="D21" s="1723"/>
      <c r="E21" s="1724"/>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2">
      <c r="A22" s="57"/>
      <c r="B22" s="65" t="s">
        <v>1708</v>
      </c>
      <c r="C22" s="66"/>
      <c r="D22" s="1725" t="s">
        <v>1717</v>
      </c>
      <c r="E22" s="1726"/>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2">
      <c r="A23" s="57"/>
      <c r="B23" s="67" t="s">
        <v>1710</v>
      </c>
      <c r="C23" s="68"/>
      <c r="D23" s="1716" t="s">
        <v>1719</v>
      </c>
      <c r="E23" s="1717"/>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2">
      <c r="A24" s="57"/>
      <c r="B24" s="67" t="s">
        <v>1712</v>
      </c>
      <c r="C24" s="68"/>
      <c r="D24" s="1716" t="s">
        <v>1720</v>
      </c>
      <c r="E24" s="1717"/>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2">
      <c r="A25" s="57"/>
      <c r="B25" s="67" t="s">
        <v>1714</v>
      </c>
      <c r="C25" s="68"/>
      <c r="D25" s="1716" t="s">
        <v>1721</v>
      </c>
      <c r="E25" s="1717"/>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2">
      <c r="A26" s="57"/>
      <c r="B26" s="67" t="s">
        <v>1722</v>
      </c>
      <c r="C26" s="68"/>
      <c r="D26" s="1716" t="s">
        <v>1723</v>
      </c>
      <c r="E26" s="1717"/>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2">
      <c r="A27" s="57"/>
      <c r="B27" s="69" t="s">
        <v>1724</v>
      </c>
      <c r="C27" s="70"/>
      <c r="D27" s="1727" t="s">
        <v>1715</v>
      </c>
      <c r="E27" s="1728"/>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2">
      <c r="A28" s="57"/>
      <c r="B28" s="64" t="s">
        <v>1725</v>
      </c>
      <c r="C28" s="1723" t="s">
        <v>1726</v>
      </c>
      <c r="D28" s="1723"/>
      <c r="E28" s="1724"/>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2">
      <c r="A29" s="57"/>
      <c r="B29" s="65" t="s">
        <v>1708</v>
      </c>
      <c r="C29" s="66"/>
      <c r="D29" s="1725" t="s">
        <v>1727</v>
      </c>
      <c r="E29" s="1726"/>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2">
      <c r="A30" s="57"/>
      <c r="B30" s="67" t="s">
        <v>1710</v>
      </c>
      <c r="C30" s="68"/>
      <c r="D30" s="1716" t="s">
        <v>1728</v>
      </c>
      <c r="E30" s="1717"/>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2">
      <c r="A31" s="57"/>
      <c r="B31" s="67" t="s">
        <v>1712</v>
      </c>
      <c r="C31" s="68"/>
      <c r="D31" s="1716" t="s">
        <v>1729</v>
      </c>
      <c r="E31" s="1717"/>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2">
      <c r="A32" s="57"/>
      <c r="B32" s="69" t="s">
        <v>1714</v>
      </c>
      <c r="C32" s="70"/>
      <c r="D32" s="1727" t="s">
        <v>1730</v>
      </c>
      <c r="E32" s="1728"/>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2">
      <c r="A33" s="57"/>
      <c r="B33" s="71" t="s">
        <v>1731</v>
      </c>
      <c r="C33" s="1723" t="s">
        <v>1921</v>
      </c>
      <c r="D33" s="1723"/>
      <c r="E33" s="1724"/>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2">
      <c r="A34" s="57"/>
      <c r="B34" s="65" t="s">
        <v>1708</v>
      </c>
      <c r="C34" s="66"/>
      <c r="D34" s="1725" t="s">
        <v>1928</v>
      </c>
      <c r="E34" s="1726"/>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2">
      <c r="A35" s="57"/>
      <c r="B35" s="67" t="s">
        <v>1710</v>
      </c>
      <c r="C35" s="68"/>
      <c r="D35" s="1716" t="s">
        <v>1733</v>
      </c>
      <c r="E35" s="1717"/>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2">
      <c r="A36" s="57"/>
      <c r="B36" s="67" t="s">
        <v>1712</v>
      </c>
      <c r="C36" s="68"/>
      <c r="D36" s="1716" t="s">
        <v>1734</v>
      </c>
      <c r="E36" s="1717"/>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2">
      <c r="A37" s="57"/>
      <c r="B37" s="69" t="s">
        <v>1714</v>
      </c>
      <c r="C37" s="70"/>
      <c r="D37" s="1731" t="s">
        <v>1929</v>
      </c>
      <c r="E37" s="1732"/>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2">
      <c r="A38" s="57"/>
      <c r="B38" s="71" t="s">
        <v>1736</v>
      </c>
      <c r="C38" s="1723" t="s">
        <v>1922</v>
      </c>
      <c r="D38" s="1723"/>
      <c r="E38" s="1724"/>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2">
      <c r="A39" s="57"/>
      <c r="B39" s="65" t="s">
        <v>1708</v>
      </c>
      <c r="C39" s="66"/>
      <c r="D39" s="1733" t="s">
        <v>1737</v>
      </c>
      <c r="E39" s="1734"/>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2">
      <c r="A40" s="57"/>
      <c r="B40" s="1735" t="s">
        <v>1710</v>
      </c>
      <c r="C40" s="1714"/>
      <c r="D40" s="1729" t="s">
        <v>1738</v>
      </c>
      <c r="E40" s="1730"/>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2">
      <c r="A41" s="57"/>
      <c r="B41" s="1736"/>
      <c r="C41" s="1737"/>
      <c r="D41" s="1738"/>
      <c r="E41" s="1739"/>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2">
      <c r="A42" s="57"/>
      <c r="B42" s="72" t="s">
        <v>1712</v>
      </c>
      <c r="C42" s="73"/>
      <c r="D42" s="1729" t="s">
        <v>1739</v>
      </c>
      <c r="E42" s="1730"/>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2">
      <c r="A43" s="57"/>
      <c r="B43" s="67" t="s">
        <v>1714</v>
      </c>
      <c r="C43" s="68"/>
      <c r="D43" s="1729" t="s">
        <v>1740</v>
      </c>
      <c r="E43" s="1730"/>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2">
      <c r="A44" s="57"/>
      <c r="B44" s="1712" t="s">
        <v>1722</v>
      </c>
      <c r="C44" s="1740"/>
      <c r="D44" s="1742" t="s">
        <v>1715</v>
      </c>
      <c r="E44" s="1743"/>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2">
      <c r="A45" s="57"/>
      <c r="B45" s="1713"/>
      <c r="C45" s="1741"/>
      <c r="D45" s="1718"/>
      <c r="E45" s="1719"/>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2">
      <c r="A46" s="57"/>
      <c r="B46" s="71" t="s">
        <v>1742</v>
      </c>
      <c r="C46" s="1723" t="s">
        <v>1923</v>
      </c>
      <c r="D46" s="1723"/>
      <c r="E46" s="1724"/>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2">
      <c r="A47" s="57"/>
      <c r="B47" s="65" t="s">
        <v>1708</v>
      </c>
      <c r="C47" s="66"/>
      <c r="D47" s="1725" t="s">
        <v>1743</v>
      </c>
      <c r="E47" s="1726"/>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2">
      <c r="A48" s="57"/>
      <c r="B48" s="72" t="s">
        <v>1710</v>
      </c>
      <c r="C48" s="73"/>
      <c r="D48" s="1716" t="s">
        <v>1744</v>
      </c>
      <c r="E48" s="1717"/>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2">
      <c r="A49" s="57"/>
      <c r="B49" s="72" t="s">
        <v>1712</v>
      </c>
      <c r="C49" s="73"/>
      <c r="D49" s="1716" t="s">
        <v>1746</v>
      </c>
      <c r="E49" s="1717"/>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2">
      <c r="A50" s="57"/>
      <c r="B50" s="72" t="s">
        <v>1714</v>
      </c>
      <c r="C50" s="73"/>
      <c r="D50" s="1716" t="s">
        <v>1748</v>
      </c>
      <c r="E50" s="1717"/>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2">
      <c r="A51" s="57"/>
      <c r="B51" s="67" t="s">
        <v>1722</v>
      </c>
      <c r="C51" s="68"/>
      <c r="D51" s="1716" t="s">
        <v>1749</v>
      </c>
      <c r="E51" s="1717"/>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2">
      <c r="A52" s="57"/>
      <c r="B52" s="67" t="s">
        <v>1724</v>
      </c>
      <c r="C52" s="68"/>
      <c r="D52" s="1716" t="s">
        <v>1750</v>
      </c>
      <c r="E52" s="1717"/>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2">
      <c r="A53" s="57"/>
      <c r="B53" s="1735" t="s">
        <v>1751</v>
      </c>
      <c r="C53" s="1714"/>
      <c r="D53" s="1716" t="s">
        <v>1715</v>
      </c>
      <c r="E53" s="1717"/>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2">
      <c r="A54" s="57"/>
      <c r="B54" s="1744"/>
      <c r="C54" s="1715"/>
      <c r="D54" s="1745"/>
      <c r="E54" s="1746"/>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2">
      <c r="A55" s="57"/>
      <c r="B55" s="71" t="s">
        <v>1752</v>
      </c>
      <c r="C55" s="1723" t="s">
        <v>1753</v>
      </c>
      <c r="D55" s="1723"/>
      <c r="E55" s="1724"/>
      <c r="F55" s="57"/>
      <c r="G55" s="57" t="s">
        <v>68</v>
      </c>
      <c r="H55" s="57"/>
      <c r="I55" s="57"/>
      <c r="J55" s="57"/>
      <c r="K55" s="57"/>
      <c r="L55" s="57"/>
      <c r="M55" s="57"/>
      <c r="N55" s="57"/>
      <c r="O55" s="57"/>
      <c r="P55" s="57"/>
      <c r="Q55" s="57"/>
      <c r="R55" s="57"/>
      <c r="S55" s="57"/>
      <c r="T55" s="57"/>
      <c r="U55" s="57"/>
      <c r="V55" s="57"/>
      <c r="W55" s="57"/>
      <c r="X55" s="57"/>
      <c r="Y55" s="57"/>
      <c r="Z55" s="57"/>
    </row>
    <row r="56" spans="1:26" x14ac:dyDescent="0.2">
      <c r="A56" s="57"/>
      <c r="B56" s="65" t="s">
        <v>1708</v>
      </c>
      <c r="C56" s="66"/>
      <c r="D56" s="1725" t="s">
        <v>1754</v>
      </c>
      <c r="E56" s="1726"/>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2">
      <c r="A57" s="57"/>
      <c r="B57" s="1712" t="s">
        <v>1710</v>
      </c>
      <c r="C57" s="1740"/>
      <c r="D57" s="1716" t="s">
        <v>1755</v>
      </c>
      <c r="E57" s="1717"/>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2">
      <c r="A58" s="57"/>
      <c r="B58" s="1712"/>
      <c r="C58" s="1740"/>
      <c r="D58" s="1747"/>
      <c r="E58" s="1748"/>
      <c r="F58" s="57"/>
      <c r="G58" s="57" t="s">
        <v>145</v>
      </c>
      <c r="H58" s="57"/>
      <c r="I58" s="57"/>
      <c r="J58" s="57"/>
      <c r="K58" s="57"/>
      <c r="L58" s="57"/>
      <c r="M58" s="57"/>
      <c r="N58" s="57"/>
      <c r="O58" s="57"/>
      <c r="P58" s="57"/>
      <c r="Q58" s="57"/>
      <c r="R58" s="57"/>
      <c r="S58" s="57"/>
      <c r="T58" s="57"/>
      <c r="U58" s="57"/>
      <c r="V58" s="57"/>
      <c r="W58" s="57"/>
      <c r="X58" s="57"/>
      <c r="Y58" s="57"/>
      <c r="Z58" s="57"/>
    </row>
    <row r="59" spans="1:26" x14ac:dyDescent="0.2">
      <c r="A59" s="57"/>
      <c r="B59" s="67" t="s">
        <v>1712</v>
      </c>
      <c r="C59" s="68"/>
      <c r="D59" s="1716" t="s">
        <v>1756</v>
      </c>
      <c r="E59" s="1717"/>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2">
      <c r="A60" s="57"/>
      <c r="B60" s="69" t="s">
        <v>1714</v>
      </c>
      <c r="C60" s="70"/>
      <c r="D60" s="1727" t="s">
        <v>1757</v>
      </c>
      <c r="E60" s="1728"/>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2">
      <c r="A61" s="57"/>
      <c r="B61" s="71" t="s">
        <v>1758</v>
      </c>
      <c r="C61" s="1723" t="s">
        <v>1924</v>
      </c>
      <c r="D61" s="1723"/>
      <c r="E61" s="1724"/>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2">
      <c r="A62" s="57"/>
      <c r="B62" s="65" t="s">
        <v>1708</v>
      </c>
      <c r="C62" s="66"/>
      <c r="D62" s="1725" t="s">
        <v>1760</v>
      </c>
      <c r="E62" s="1726"/>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2">
      <c r="A63" s="57"/>
      <c r="B63" s="1712" t="s">
        <v>1710</v>
      </c>
      <c r="C63" s="1740"/>
      <c r="D63" s="1716" t="s">
        <v>1762</v>
      </c>
      <c r="E63" s="1717"/>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2">
      <c r="A64" s="57"/>
      <c r="B64" s="1712"/>
      <c r="C64" s="1740"/>
      <c r="D64" s="1747"/>
      <c r="E64" s="1748"/>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2">
      <c r="A65" s="57"/>
      <c r="B65" s="67" t="s">
        <v>1712</v>
      </c>
      <c r="C65" s="68"/>
      <c r="D65" s="1716" t="s">
        <v>1764</v>
      </c>
      <c r="E65" s="1717"/>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2">
      <c r="A66" s="57"/>
      <c r="B66" s="69" t="s">
        <v>1714</v>
      </c>
      <c r="C66" s="70"/>
      <c r="D66" s="1727" t="s">
        <v>1765</v>
      </c>
      <c r="E66" s="1728"/>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2">
      <c r="A67" s="57"/>
      <c r="B67" s="71" t="s">
        <v>1766</v>
      </c>
      <c r="C67" s="1723" t="s">
        <v>1925</v>
      </c>
      <c r="D67" s="1723"/>
      <c r="E67" s="1724"/>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2">
      <c r="A68" s="57"/>
      <c r="B68" s="65" t="s">
        <v>1708</v>
      </c>
      <c r="C68" s="66"/>
      <c r="D68" s="1725" t="s">
        <v>1767</v>
      </c>
      <c r="E68" s="1726"/>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2">
      <c r="A69" s="57"/>
      <c r="B69" s="67" t="s">
        <v>1710</v>
      </c>
      <c r="C69" s="68"/>
      <c r="D69" s="1716" t="s">
        <v>1769</v>
      </c>
      <c r="E69" s="1717"/>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2">
      <c r="A70" s="57"/>
      <c r="B70" s="69" t="s">
        <v>1712</v>
      </c>
      <c r="C70" s="70"/>
      <c r="D70" s="1749" t="s">
        <v>1765</v>
      </c>
      <c r="E70" s="1750"/>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2">
      <c r="A71" s="57"/>
      <c r="B71" s="71" t="s">
        <v>1771</v>
      </c>
      <c r="C71" s="1723" t="s">
        <v>1926</v>
      </c>
      <c r="D71" s="1723"/>
      <c r="E71" s="1724"/>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2">
      <c r="A72" s="57"/>
      <c r="B72" s="65" t="s">
        <v>1708</v>
      </c>
      <c r="C72" s="66"/>
      <c r="D72" s="1725" t="s">
        <v>1772</v>
      </c>
      <c r="E72" s="1726"/>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2">
      <c r="A73" s="57"/>
      <c r="B73" s="67" t="s">
        <v>1710</v>
      </c>
      <c r="C73" s="68"/>
      <c r="D73" s="1716" t="s">
        <v>1773</v>
      </c>
      <c r="E73" s="1717"/>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2">
      <c r="A74" s="57"/>
      <c r="B74" s="67" t="s">
        <v>1712</v>
      </c>
      <c r="C74" s="68"/>
      <c r="D74" s="1716" t="s">
        <v>1774</v>
      </c>
      <c r="E74" s="1717"/>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2">
      <c r="A75" s="57"/>
      <c r="B75" s="69" t="s">
        <v>1714</v>
      </c>
      <c r="C75" s="70"/>
      <c r="D75" s="1749" t="s">
        <v>1765</v>
      </c>
      <c r="E75" s="1750"/>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2">
      <c r="A76" s="57"/>
      <c r="B76" s="71" t="s">
        <v>1775</v>
      </c>
      <c r="C76" s="1723" t="s">
        <v>1927</v>
      </c>
      <c r="D76" s="1723"/>
      <c r="E76" s="1724"/>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2">
      <c r="A77" s="57"/>
      <c r="B77" s="1751"/>
      <c r="C77" s="1752"/>
      <c r="D77" s="1752"/>
      <c r="E77" s="1753"/>
      <c r="F77" s="57"/>
      <c r="G77" s="57" t="s">
        <v>55</v>
      </c>
      <c r="H77" s="57"/>
      <c r="I77" s="57"/>
      <c r="J77" s="57"/>
      <c r="K77" s="57"/>
      <c r="L77" s="57"/>
      <c r="M77" s="57"/>
      <c r="N77" s="57"/>
      <c r="O77" s="57"/>
      <c r="P77" s="57"/>
      <c r="Q77" s="57"/>
      <c r="R77" s="57"/>
      <c r="S77" s="57"/>
      <c r="T77" s="57"/>
      <c r="U77" s="57"/>
      <c r="V77" s="57"/>
      <c r="W77" s="57"/>
      <c r="X77" s="57"/>
      <c r="Y77" s="57"/>
      <c r="Z77" s="57"/>
    </row>
    <row r="78" spans="1:26" x14ac:dyDescent="0.2">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2">
      <c r="A79" s="57"/>
      <c r="B79" s="1754" t="s">
        <v>1930</v>
      </c>
      <c r="C79" s="1754"/>
      <c r="D79" s="1754"/>
      <c r="E79" s="1754"/>
      <c r="F79" s="57"/>
      <c r="G79" s="57" t="s">
        <v>396</v>
      </c>
      <c r="H79" s="57"/>
      <c r="I79" s="57"/>
      <c r="J79" s="57"/>
      <c r="K79" s="57"/>
      <c r="L79" s="57"/>
      <c r="M79" s="57"/>
      <c r="N79" s="57"/>
      <c r="O79" s="57"/>
      <c r="P79" s="57"/>
      <c r="Q79" s="57"/>
      <c r="R79" s="57"/>
      <c r="S79" s="57"/>
      <c r="T79" s="57"/>
      <c r="U79" s="57"/>
      <c r="V79" s="57"/>
      <c r="W79" s="57"/>
      <c r="X79" s="57"/>
      <c r="Y79" s="57"/>
      <c r="Z79" s="57"/>
    </row>
    <row r="80" spans="1:26" x14ac:dyDescent="0.2">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2">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2">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2">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2">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2">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2">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2">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2">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2">
      <c r="G89" s="79" t="s">
        <v>427</v>
      </c>
    </row>
  </sheetData>
  <sheetProtection password="ECB1"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40625" defaultRowHeight="15" x14ac:dyDescent="0.25"/>
  <cols>
    <col min="1" max="1" width="14.85546875" style="1022" customWidth="1"/>
    <col min="2" max="2" width="22.7109375" style="88" customWidth="1"/>
    <col min="3" max="3" width="22.28515625" style="88" customWidth="1"/>
    <col min="4" max="4" width="11" style="88" customWidth="1"/>
    <col min="5" max="5" width="10.140625" style="88" customWidth="1"/>
    <col min="6" max="6" width="10.28515625" style="88" customWidth="1"/>
    <col min="7" max="9" width="11.7109375" style="88" customWidth="1"/>
    <col min="10" max="10" width="8.28515625" style="88" customWidth="1"/>
    <col min="11" max="13" width="12.28515625" style="88" customWidth="1"/>
    <col min="14" max="14" width="16.42578125" style="88" customWidth="1"/>
    <col min="15" max="15" width="10.42578125" style="88" customWidth="1"/>
    <col min="16" max="16" width="11.28515625" style="88" customWidth="1"/>
    <col min="17" max="17" width="15.85546875" style="88" customWidth="1"/>
    <col min="18" max="18" width="12.5703125" style="88" customWidth="1"/>
    <col min="19" max="19" width="14.85546875" style="88" customWidth="1"/>
    <col min="20" max="20" width="15.140625" style="88" customWidth="1"/>
    <col min="21" max="21" width="12.42578125" style="88" customWidth="1"/>
    <col min="22" max="22" width="12.85546875" style="88" customWidth="1"/>
    <col min="23" max="23" width="11.42578125" style="88" customWidth="1"/>
    <col min="24" max="24" width="20.42578125" style="88" customWidth="1"/>
    <col min="25" max="25" width="14" style="88" customWidth="1"/>
    <col min="26" max="28" width="13" style="88" customWidth="1"/>
    <col min="29" max="29" width="14.7109375" style="88" customWidth="1"/>
    <col min="30" max="16384" width="9.140625" style="88"/>
  </cols>
  <sheetData>
    <row r="1" spans="1:46" ht="24.75" customHeight="1" x14ac:dyDescent="0.45">
      <c r="A1" s="1758"/>
      <c r="B1" s="1758"/>
      <c r="C1" s="1758"/>
      <c r="D1" s="1758"/>
      <c r="E1" s="1758"/>
      <c r="F1" s="1758"/>
      <c r="G1" s="1758"/>
      <c r="H1" s="1758"/>
      <c r="I1" s="1758"/>
      <c r="J1" s="1758"/>
      <c r="K1" s="1758"/>
      <c r="L1" s="1758"/>
      <c r="M1" s="1758"/>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5">
      <c r="A2" s="940" t="s">
        <v>610</v>
      </c>
      <c r="B2" s="941" t="str">
        <f>CONCATENATE('Ввод исходных данных'!D13,'Ввод исходных данных'!D18,'Ввод исходных данных'!D16)</f>
        <v>Нет в списке</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25">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25">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25">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25">
      <c r="A6" s="953"/>
      <c r="B6" s="1755" t="s">
        <v>1406</v>
      </c>
      <c r="C6" s="1756"/>
      <c r="D6" s="1756"/>
      <c r="E6" s="1756"/>
      <c r="F6" s="1757"/>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25">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25">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25">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25">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25">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25">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25">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25">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25">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25">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25">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25">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25">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25">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25">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25">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25">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25">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25">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25">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25">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25">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25">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25">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25">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25">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25">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25">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25">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25">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25">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25">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25">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25">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25">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25">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25">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25">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25">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25">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25">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25">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25">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25">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25">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2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25">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2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25">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25">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25">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25">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25">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25">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25">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25">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25">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25">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25">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25">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25">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25">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25">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25">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25">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25">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25">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25">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5">
      <c r="A75" s="1020"/>
      <c r="B75" s="1020"/>
      <c r="C75" s="1020" t="str">
        <f>B2</f>
        <v>Нет в списке</v>
      </c>
      <c r="D75" s="1020">
        <f>'Ввод исходных данных'!D18</f>
        <v>0</v>
      </c>
      <c r="E75" s="1020">
        <f>'Ввод исходных данных'!D16</f>
        <v>0</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0</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0</v>
      </c>
      <c r="AC75" s="87"/>
      <c r="AD75" s="87"/>
      <c r="AE75" s="87"/>
      <c r="AF75" s="87"/>
      <c r="AG75" s="87"/>
      <c r="AH75" s="87"/>
      <c r="AI75" s="87"/>
      <c r="AJ75" s="87"/>
      <c r="AK75" s="87"/>
      <c r="AL75" s="87"/>
      <c r="AM75" s="87"/>
      <c r="AN75" s="87"/>
      <c r="AO75" s="87"/>
      <c r="AP75" s="87"/>
      <c r="AQ75" s="87"/>
      <c r="AR75" s="87"/>
      <c r="AS75" s="87"/>
      <c r="AT75" s="87"/>
    </row>
    <row r="76" spans="1:46" x14ac:dyDescent="0.2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RowHeight="15" x14ac:dyDescent="0.25"/>
  <cols>
    <col min="1" max="1" width="38.28515625" style="88" customWidth="1"/>
    <col min="2" max="2" width="11.5703125" style="88" customWidth="1"/>
    <col min="3" max="3" width="15.5703125" style="88" customWidth="1"/>
    <col min="4" max="4" width="13.140625" style="88" customWidth="1"/>
    <col min="5" max="5" width="15.140625" style="88" customWidth="1"/>
    <col min="6" max="6" width="13.7109375" style="88" customWidth="1"/>
    <col min="7" max="7" width="37.42578125" style="88" customWidth="1"/>
    <col min="8" max="8" width="10" style="88" customWidth="1"/>
    <col min="9" max="9" width="12.85546875" style="88" customWidth="1"/>
    <col min="10" max="10" width="13.42578125" style="88" customWidth="1"/>
    <col min="11" max="11" width="14.28515625" style="88" customWidth="1"/>
    <col min="12" max="12" width="12.28515625" style="88" customWidth="1"/>
    <col min="13" max="13" width="13.140625" style="88" customWidth="1"/>
    <col min="14" max="14" width="15.28515625" style="88" customWidth="1"/>
    <col min="15" max="15" width="12.7109375" style="88" customWidth="1"/>
    <col min="16" max="16" width="11.28515625" style="88" customWidth="1"/>
    <col min="17" max="17" width="15.5703125" style="88" customWidth="1"/>
    <col min="18" max="18" width="15.7109375" style="88" customWidth="1"/>
    <col min="19" max="19" width="11.7109375" style="88" customWidth="1"/>
    <col min="20" max="20" width="13.140625" style="88" customWidth="1"/>
    <col min="21" max="21" width="11.42578125" style="88" customWidth="1"/>
    <col min="22" max="22" width="12.42578125" style="88" customWidth="1"/>
    <col min="23" max="23" width="14.140625" style="88" customWidth="1"/>
    <col min="24" max="24" width="12.42578125" style="88" customWidth="1"/>
    <col min="25" max="25" width="12.5703125" style="88" customWidth="1"/>
    <col min="26" max="26" width="16" style="88" customWidth="1"/>
    <col min="27" max="27" width="11.5703125" style="88" customWidth="1"/>
    <col min="28" max="28" width="13.42578125" style="88" customWidth="1"/>
    <col min="29" max="29" width="15.28515625" style="88" customWidth="1"/>
    <col min="30" max="30" width="12.42578125" style="88" customWidth="1"/>
    <col min="31" max="31" width="14.140625" style="88" customWidth="1"/>
    <col min="32" max="32" width="14.85546875" style="88" customWidth="1"/>
    <col min="33" max="33" width="12" style="88" customWidth="1"/>
    <col min="34" max="34" width="13.42578125" style="88" customWidth="1"/>
    <col min="35" max="35" width="14.85546875" style="88" customWidth="1"/>
    <col min="36" max="36" width="11.7109375" style="88" customWidth="1"/>
    <col min="37" max="37" width="12.5703125" style="88" customWidth="1"/>
    <col min="38" max="38" width="16" style="88" customWidth="1"/>
    <col min="39" max="39" width="12.7109375" style="88" customWidth="1"/>
    <col min="40" max="40" width="12.42578125" style="88" customWidth="1"/>
    <col min="41" max="41" width="13.85546875" style="88" customWidth="1"/>
    <col min="42" max="42" width="12.5703125" style="88" customWidth="1"/>
    <col min="43" max="44" width="13.28515625" style="88" customWidth="1"/>
    <col min="45" max="45" width="9.140625" style="88"/>
    <col min="46" max="46" width="12.140625" style="88" customWidth="1"/>
    <col min="47" max="16384" width="9.140625" style="88"/>
  </cols>
  <sheetData>
    <row r="1" spans="1:67"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
      <c r="A3" s="1783" t="s">
        <v>1172</v>
      </c>
      <c r="B3" s="1783"/>
      <c r="C3" s="1783"/>
      <c r="D3" s="1783"/>
      <c r="E3" s="1783"/>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25">
      <c r="A4" s="1787" t="s">
        <v>834</v>
      </c>
      <c r="B4" s="1773" t="s">
        <v>1174</v>
      </c>
      <c r="C4" s="1789" t="s">
        <v>1175</v>
      </c>
      <c r="D4" s="1769" t="s">
        <v>1176</v>
      </c>
      <c r="E4" s="1767" t="s">
        <v>1177</v>
      </c>
      <c r="F4" s="87"/>
      <c r="G4" s="1776" t="s">
        <v>834</v>
      </c>
      <c r="H4" s="1781" t="s">
        <v>1174</v>
      </c>
      <c r="I4" s="1784" t="s">
        <v>488</v>
      </c>
      <c r="J4" s="1785"/>
      <c r="K4" s="1786"/>
      <c r="L4" s="1784" t="s">
        <v>489</v>
      </c>
      <c r="M4" s="1785"/>
      <c r="N4" s="1786"/>
      <c r="O4" s="1784" t="s">
        <v>490</v>
      </c>
      <c r="P4" s="1785"/>
      <c r="Q4" s="1786"/>
      <c r="R4" s="1784" t="s">
        <v>491</v>
      </c>
      <c r="S4" s="1785"/>
      <c r="T4" s="1786"/>
      <c r="U4" s="1784" t="s">
        <v>805</v>
      </c>
      <c r="V4" s="1785"/>
      <c r="W4" s="1786"/>
      <c r="X4" s="1784" t="s">
        <v>806</v>
      </c>
      <c r="Y4" s="1785"/>
      <c r="Z4" s="1786"/>
      <c r="AA4" s="1784" t="s">
        <v>807</v>
      </c>
      <c r="AB4" s="1785"/>
      <c r="AC4" s="1786"/>
      <c r="AD4" s="1784" t="s">
        <v>808</v>
      </c>
      <c r="AE4" s="1785"/>
      <c r="AF4" s="1786"/>
      <c r="AG4" s="1784" t="s">
        <v>809</v>
      </c>
      <c r="AH4" s="1785"/>
      <c r="AI4" s="1786"/>
      <c r="AJ4" s="1784" t="s">
        <v>482</v>
      </c>
      <c r="AK4" s="1785"/>
      <c r="AL4" s="1786"/>
      <c r="AM4" s="1784" t="s">
        <v>486</v>
      </c>
      <c r="AN4" s="1785"/>
      <c r="AO4" s="1786"/>
      <c r="AP4" s="1791" t="s">
        <v>487</v>
      </c>
      <c r="AQ4" s="1792"/>
      <c r="AR4" s="1792"/>
      <c r="AS4" s="87"/>
      <c r="AT4" s="87"/>
      <c r="AU4" s="87"/>
      <c r="AV4" s="87"/>
      <c r="AW4" s="87"/>
      <c r="AX4" s="87"/>
      <c r="AY4" s="87"/>
      <c r="AZ4" s="87"/>
      <c r="BA4" s="87"/>
      <c r="BB4" s="87"/>
      <c r="BC4" s="87"/>
      <c r="BD4" s="87"/>
      <c r="BE4" s="87"/>
      <c r="BF4" s="87"/>
      <c r="BG4" s="87"/>
      <c r="BH4" s="87"/>
      <c r="BI4" s="87"/>
      <c r="BJ4" s="87"/>
      <c r="BK4" s="87"/>
      <c r="BL4" s="87"/>
      <c r="BM4" s="87"/>
      <c r="BN4" s="87"/>
      <c r="BO4" s="87"/>
    </row>
    <row r="5" spans="1:67" ht="72.95" customHeight="1" thickBot="1" x14ac:dyDescent="0.3">
      <c r="A5" s="1788"/>
      <c r="B5" s="1774"/>
      <c r="C5" s="1790"/>
      <c r="D5" s="1770"/>
      <c r="E5" s="1768"/>
      <c r="F5" s="87"/>
      <c r="G5" s="1777"/>
      <c r="H5" s="1782"/>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25">
      <c r="A6" s="539" t="s">
        <v>1178</v>
      </c>
      <c r="B6" s="540" t="s">
        <v>842</v>
      </c>
      <c r="C6" s="541" t="e">
        <f>C12+C15+C18</f>
        <v>#N/A</v>
      </c>
      <c r="D6" s="542">
        <f>D12+D15+D18</f>
        <v>0</v>
      </c>
      <c r="E6" s="543" t="e">
        <f>E12+E15+E18</f>
        <v>#VALUE!</v>
      </c>
      <c r="F6" s="87"/>
      <c r="G6" s="544" t="s">
        <v>1178</v>
      </c>
      <c r="H6" s="545" t="s">
        <v>842</v>
      </c>
      <c r="I6" s="344" t="e">
        <f>I12+I15+I18</f>
        <v>#N/A</v>
      </c>
      <c r="J6" s="546" t="e">
        <f t="shared" ref="J6" si="0">J12+J15+J18</f>
        <v>#N/A</v>
      </c>
      <c r="K6" s="547" t="e">
        <f t="shared" ref="K6" si="1">K12+K15+K18</f>
        <v>#N/A</v>
      </c>
      <c r="L6" s="344" t="e">
        <f>L12+L15+L18</f>
        <v>#N/A</v>
      </c>
      <c r="M6" s="546" t="e">
        <f t="shared" ref="M6:N6" si="2">M12+M15+M18</f>
        <v>#N/A</v>
      </c>
      <c r="N6" s="547" t="e">
        <f t="shared" si="2"/>
        <v>#N/A</v>
      </c>
      <c r="O6" s="548" t="e">
        <f>O12+O15+O18</f>
        <v>#N/A</v>
      </c>
      <c r="P6" s="549" t="e">
        <f t="shared" ref="P6:Q6" si="3">P12+P15+P18</f>
        <v>#N/A</v>
      </c>
      <c r="Q6" s="550" t="e">
        <f t="shared" si="3"/>
        <v>#N/A</v>
      </c>
      <c r="R6" s="344" t="e">
        <f>R12+R15+R18</f>
        <v>#N/A</v>
      </c>
      <c r="S6" s="546" t="e">
        <f t="shared" ref="S6:T6" si="4">S12+S15+S18</f>
        <v>#N/A</v>
      </c>
      <c r="T6" s="547" t="e">
        <f t="shared" si="4"/>
        <v>#N/A</v>
      </c>
      <c r="U6" s="548" t="e">
        <f>U12+U15+U18</f>
        <v>#N/A</v>
      </c>
      <c r="V6" s="549" t="e">
        <f t="shared" ref="V6:W6" si="5">V12+V15+V18</f>
        <v>#N/A</v>
      </c>
      <c r="W6" s="550" t="e">
        <f t="shared" si="5"/>
        <v>#N/A</v>
      </c>
      <c r="X6" s="344" t="e">
        <f>X12+X15+X18</f>
        <v>#N/A</v>
      </c>
      <c r="Y6" s="546" t="e">
        <f t="shared" ref="Y6:Z6" si="6">Y12+Y15+Y18</f>
        <v>#N/A</v>
      </c>
      <c r="Z6" s="547" t="e">
        <f t="shared" si="6"/>
        <v>#N/A</v>
      </c>
      <c r="AA6" s="548" t="e">
        <f>AA12+AA15+AA18</f>
        <v>#N/A</v>
      </c>
      <c r="AB6" s="549" t="e">
        <f t="shared" ref="AB6:AC6" si="7">AB12+AB15+AB18</f>
        <v>#N/A</v>
      </c>
      <c r="AC6" s="550" t="e">
        <f t="shared" si="7"/>
        <v>#N/A</v>
      </c>
      <c r="AD6" s="344" t="e">
        <f>AD12+AD15+AD18</f>
        <v>#N/A</v>
      </c>
      <c r="AE6" s="546" t="e">
        <f t="shared" ref="AE6:AF6" si="8">AE12+AE15+AE18</f>
        <v>#N/A</v>
      </c>
      <c r="AF6" s="547" t="e">
        <f t="shared" si="8"/>
        <v>#N/A</v>
      </c>
      <c r="AG6" s="344" t="e">
        <f>AG12+AG15+AG18</f>
        <v>#N/A</v>
      </c>
      <c r="AH6" s="546" t="e">
        <f t="shared" ref="AH6:AI6" si="9">AH12+AH15+AH18</f>
        <v>#N/A</v>
      </c>
      <c r="AI6" s="547" t="e">
        <f t="shared" si="9"/>
        <v>#N/A</v>
      </c>
      <c r="AJ6" s="344" t="e">
        <f>AJ12+AJ15+AJ18</f>
        <v>#N/A</v>
      </c>
      <c r="AK6" s="546" t="e">
        <f t="shared" ref="AK6:AL6" si="10">AK12+AK15+AK18</f>
        <v>#N/A</v>
      </c>
      <c r="AL6" s="547" t="e">
        <f t="shared" si="10"/>
        <v>#N/A</v>
      </c>
      <c r="AM6" s="344" t="e">
        <f>AM12+AM15+AM18</f>
        <v>#N/A</v>
      </c>
      <c r="AN6" s="546" t="e">
        <f t="shared" ref="AN6:AO6" si="11">AN12+AN15+AN18</f>
        <v>#N/A</v>
      </c>
      <c r="AO6" s="547" t="e">
        <f t="shared" si="11"/>
        <v>#N/A</v>
      </c>
      <c r="AP6" s="551" t="e">
        <f>AP12+AP15+AP18</f>
        <v>#N/A</v>
      </c>
      <c r="AQ6" s="552" t="e">
        <f t="shared" ref="AQ6:AR6" si="12">AQ12+AQ15+AQ18</f>
        <v>#N/A</v>
      </c>
      <c r="AR6" s="552" t="e">
        <f t="shared" si="12"/>
        <v>#N/A</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25">
      <c r="A7" s="375" t="s">
        <v>874</v>
      </c>
      <c r="B7" s="376" t="s">
        <v>1180</v>
      </c>
      <c r="C7" s="553" t="e">
        <f>C6*0.123/1000</f>
        <v>#N/A</v>
      </c>
      <c r="D7" s="554">
        <f>D6*0.123/1000</f>
        <v>0</v>
      </c>
      <c r="E7" s="555" t="e">
        <f>E6*0.123/1000</f>
        <v>#VALUE!</v>
      </c>
      <c r="F7" s="87"/>
      <c r="G7" s="556" t="s">
        <v>874</v>
      </c>
      <c r="H7" s="557" t="s">
        <v>1180</v>
      </c>
      <c r="I7" s="553" t="e">
        <f t="shared" ref="I7:AR7" si="13">I6*0.123/1000</f>
        <v>#N/A</v>
      </c>
      <c r="J7" s="554" t="e">
        <f t="shared" si="13"/>
        <v>#N/A</v>
      </c>
      <c r="K7" s="555" t="e">
        <f t="shared" si="13"/>
        <v>#N/A</v>
      </c>
      <c r="L7" s="553" t="e">
        <f t="shared" si="13"/>
        <v>#N/A</v>
      </c>
      <c r="M7" s="554" t="e">
        <f t="shared" si="13"/>
        <v>#N/A</v>
      </c>
      <c r="N7" s="555" t="e">
        <f t="shared" si="13"/>
        <v>#N/A</v>
      </c>
      <c r="O7" s="553" t="e">
        <f t="shared" si="13"/>
        <v>#N/A</v>
      </c>
      <c r="P7" s="554" t="e">
        <f t="shared" si="13"/>
        <v>#N/A</v>
      </c>
      <c r="Q7" s="555" t="e">
        <f t="shared" si="13"/>
        <v>#N/A</v>
      </c>
      <c r="R7" s="553" t="e">
        <f t="shared" si="13"/>
        <v>#N/A</v>
      </c>
      <c r="S7" s="554" t="e">
        <f t="shared" si="13"/>
        <v>#N/A</v>
      </c>
      <c r="T7" s="555" t="e">
        <f t="shared" si="13"/>
        <v>#N/A</v>
      </c>
      <c r="U7" s="553" t="e">
        <f t="shared" si="13"/>
        <v>#N/A</v>
      </c>
      <c r="V7" s="554" t="e">
        <f t="shared" si="13"/>
        <v>#N/A</v>
      </c>
      <c r="W7" s="555" t="e">
        <f t="shared" si="13"/>
        <v>#N/A</v>
      </c>
      <c r="X7" s="553" t="e">
        <f t="shared" si="13"/>
        <v>#N/A</v>
      </c>
      <c r="Y7" s="554" t="e">
        <f t="shared" si="13"/>
        <v>#N/A</v>
      </c>
      <c r="Z7" s="555" t="e">
        <f t="shared" si="13"/>
        <v>#N/A</v>
      </c>
      <c r="AA7" s="553" t="e">
        <f t="shared" si="13"/>
        <v>#N/A</v>
      </c>
      <c r="AB7" s="554" t="e">
        <f t="shared" si="13"/>
        <v>#N/A</v>
      </c>
      <c r="AC7" s="558" t="e">
        <f t="shared" si="13"/>
        <v>#N/A</v>
      </c>
      <c r="AD7" s="553" t="e">
        <f t="shared" si="13"/>
        <v>#N/A</v>
      </c>
      <c r="AE7" s="554" t="e">
        <f t="shared" si="13"/>
        <v>#N/A</v>
      </c>
      <c r="AF7" s="555" t="e">
        <f t="shared" si="13"/>
        <v>#N/A</v>
      </c>
      <c r="AG7" s="553" t="e">
        <f t="shared" si="13"/>
        <v>#N/A</v>
      </c>
      <c r="AH7" s="554" t="e">
        <f t="shared" si="13"/>
        <v>#N/A</v>
      </c>
      <c r="AI7" s="555" t="e">
        <f t="shared" si="13"/>
        <v>#N/A</v>
      </c>
      <c r="AJ7" s="553" t="e">
        <f t="shared" si="13"/>
        <v>#N/A</v>
      </c>
      <c r="AK7" s="554" t="e">
        <f t="shared" si="13"/>
        <v>#N/A</v>
      </c>
      <c r="AL7" s="555" t="e">
        <f t="shared" si="13"/>
        <v>#N/A</v>
      </c>
      <c r="AM7" s="553" t="e">
        <f t="shared" si="13"/>
        <v>#N/A</v>
      </c>
      <c r="AN7" s="554" t="e">
        <f t="shared" si="13"/>
        <v>#N/A</v>
      </c>
      <c r="AO7" s="555" t="e">
        <f t="shared" si="13"/>
        <v>#N/A</v>
      </c>
      <c r="AP7" s="559" t="e">
        <f t="shared" si="13"/>
        <v>#N/A</v>
      </c>
      <c r="AQ7" s="554" t="e">
        <f t="shared" si="13"/>
        <v>#N/A</v>
      </c>
      <c r="AR7" s="555" t="e">
        <f t="shared" si="13"/>
        <v>#N/A</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
      <c r="A8" s="402" t="s">
        <v>874</v>
      </c>
      <c r="B8" s="403" t="s">
        <v>1181</v>
      </c>
      <c r="C8" s="560" t="e">
        <f>C14+C17+C19</f>
        <v>#N/A</v>
      </c>
      <c r="D8" s="560" t="e">
        <f t="shared" ref="D8" si="14">D14+D17+D19</f>
        <v>#DIV/0!</v>
      </c>
      <c r="E8" s="560"/>
      <c r="F8" s="87"/>
      <c r="G8" s="561" t="s">
        <v>874</v>
      </c>
      <c r="H8" s="562" t="s">
        <v>1181</v>
      </c>
      <c r="I8" s="563" t="e">
        <f t="shared" ref="I8:AR8" si="15">I6/I$6</f>
        <v>#N/A</v>
      </c>
      <c r="J8" s="564" t="e">
        <f t="shared" si="15"/>
        <v>#N/A</v>
      </c>
      <c r="K8" s="565" t="e">
        <f t="shared" si="15"/>
        <v>#N/A</v>
      </c>
      <c r="L8" s="563" t="e">
        <f t="shared" si="15"/>
        <v>#N/A</v>
      </c>
      <c r="M8" s="564" t="e">
        <f t="shared" si="15"/>
        <v>#N/A</v>
      </c>
      <c r="N8" s="565" t="e">
        <f t="shared" si="15"/>
        <v>#N/A</v>
      </c>
      <c r="O8" s="566" t="e">
        <f t="shared" si="15"/>
        <v>#N/A</v>
      </c>
      <c r="P8" s="567" t="e">
        <f t="shared" si="15"/>
        <v>#N/A</v>
      </c>
      <c r="Q8" s="568" t="e">
        <f t="shared" si="15"/>
        <v>#N/A</v>
      </c>
      <c r="R8" s="563" t="e">
        <f t="shared" si="15"/>
        <v>#N/A</v>
      </c>
      <c r="S8" s="564" t="e">
        <f t="shared" si="15"/>
        <v>#N/A</v>
      </c>
      <c r="T8" s="565" t="e">
        <f t="shared" si="15"/>
        <v>#N/A</v>
      </c>
      <c r="U8" s="566" t="e">
        <f t="shared" si="15"/>
        <v>#N/A</v>
      </c>
      <c r="V8" s="567" t="e">
        <f t="shared" si="15"/>
        <v>#N/A</v>
      </c>
      <c r="W8" s="568" t="e">
        <f t="shared" si="15"/>
        <v>#N/A</v>
      </c>
      <c r="X8" s="563" t="e">
        <f t="shared" si="15"/>
        <v>#N/A</v>
      </c>
      <c r="Y8" s="564" t="e">
        <f t="shared" si="15"/>
        <v>#N/A</v>
      </c>
      <c r="Z8" s="565" t="e">
        <f t="shared" si="15"/>
        <v>#N/A</v>
      </c>
      <c r="AA8" s="566" t="e">
        <f t="shared" si="15"/>
        <v>#N/A</v>
      </c>
      <c r="AB8" s="567" t="e">
        <f t="shared" si="15"/>
        <v>#N/A</v>
      </c>
      <c r="AC8" s="568" t="e">
        <f t="shared" si="15"/>
        <v>#N/A</v>
      </c>
      <c r="AD8" s="563" t="e">
        <f t="shared" si="15"/>
        <v>#N/A</v>
      </c>
      <c r="AE8" s="564" t="e">
        <f t="shared" si="15"/>
        <v>#N/A</v>
      </c>
      <c r="AF8" s="565" t="e">
        <f t="shared" si="15"/>
        <v>#N/A</v>
      </c>
      <c r="AG8" s="563" t="e">
        <f t="shared" si="15"/>
        <v>#N/A</v>
      </c>
      <c r="AH8" s="564" t="e">
        <f t="shared" si="15"/>
        <v>#N/A</v>
      </c>
      <c r="AI8" s="565" t="e">
        <f t="shared" si="15"/>
        <v>#N/A</v>
      </c>
      <c r="AJ8" s="563" t="e">
        <f t="shared" si="15"/>
        <v>#N/A</v>
      </c>
      <c r="AK8" s="564" t="e">
        <f t="shared" si="15"/>
        <v>#N/A</v>
      </c>
      <c r="AL8" s="565" t="e">
        <f t="shared" si="15"/>
        <v>#N/A</v>
      </c>
      <c r="AM8" s="563" t="e">
        <f t="shared" si="15"/>
        <v>#N/A</v>
      </c>
      <c r="AN8" s="564" t="e">
        <f t="shared" si="15"/>
        <v>#N/A</v>
      </c>
      <c r="AO8" s="565" t="e">
        <f t="shared" si="15"/>
        <v>#N/A</v>
      </c>
      <c r="AP8" s="569" t="e">
        <f t="shared" si="15"/>
        <v>#N/A</v>
      </c>
      <c r="AQ8" s="570" t="e">
        <f t="shared" si="15"/>
        <v>#N/A</v>
      </c>
      <c r="AR8" s="570" t="e">
        <f t="shared" si="15"/>
        <v>#N/A</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25">
      <c r="A9" s="571" t="s">
        <v>1355</v>
      </c>
      <c r="B9" s="540" t="s">
        <v>842</v>
      </c>
      <c r="C9" s="572" t="e">
        <f>C12+C15</f>
        <v>#N/A</v>
      </c>
      <c r="D9" s="542">
        <f>D12+D15</f>
        <v>0</v>
      </c>
      <c r="E9" s="573" t="e">
        <f>E12+E15</f>
        <v>#VALUE!</v>
      </c>
      <c r="F9" s="473"/>
      <c r="G9" s="574" t="s">
        <v>1183</v>
      </c>
      <c r="H9" s="545" t="s">
        <v>842</v>
      </c>
      <c r="I9" s="344" t="e">
        <f t="shared" ref="I9:AR9" si="16">I12+I15</f>
        <v>#N/A</v>
      </c>
      <c r="J9" s="546" t="e">
        <f t="shared" si="16"/>
        <v>#N/A</v>
      </c>
      <c r="K9" s="547" t="e">
        <f t="shared" si="16"/>
        <v>#N/A</v>
      </c>
      <c r="L9" s="344" t="e">
        <f t="shared" si="16"/>
        <v>#N/A</v>
      </c>
      <c r="M9" s="546" t="e">
        <f t="shared" si="16"/>
        <v>#N/A</v>
      </c>
      <c r="N9" s="547" t="e">
        <f t="shared" si="16"/>
        <v>#N/A</v>
      </c>
      <c r="O9" s="344" t="e">
        <f t="shared" si="16"/>
        <v>#N/A</v>
      </c>
      <c r="P9" s="546" t="e">
        <f t="shared" si="16"/>
        <v>#N/A</v>
      </c>
      <c r="Q9" s="547" t="e">
        <f t="shared" si="16"/>
        <v>#N/A</v>
      </c>
      <c r="R9" s="344" t="e">
        <f t="shared" si="16"/>
        <v>#N/A</v>
      </c>
      <c r="S9" s="546" t="e">
        <f t="shared" si="16"/>
        <v>#N/A</v>
      </c>
      <c r="T9" s="547" t="e">
        <f t="shared" si="16"/>
        <v>#N/A</v>
      </c>
      <c r="U9" s="344" t="e">
        <f t="shared" si="16"/>
        <v>#N/A</v>
      </c>
      <c r="V9" s="546" t="e">
        <f t="shared" si="16"/>
        <v>#N/A</v>
      </c>
      <c r="W9" s="547" t="e">
        <f t="shared" si="16"/>
        <v>#N/A</v>
      </c>
      <c r="X9" s="344" t="e">
        <f t="shared" si="16"/>
        <v>#N/A</v>
      </c>
      <c r="Y9" s="546" t="e">
        <f t="shared" si="16"/>
        <v>#N/A</v>
      </c>
      <c r="Z9" s="547" t="e">
        <f t="shared" si="16"/>
        <v>#N/A</v>
      </c>
      <c r="AA9" s="344" t="e">
        <f t="shared" si="16"/>
        <v>#N/A</v>
      </c>
      <c r="AB9" s="546" t="e">
        <f t="shared" si="16"/>
        <v>#N/A</v>
      </c>
      <c r="AC9" s="547" t="e">
        <f t="shared" si="16"/>
        <v>#N/A</v>
      </c>
      <c r="AD9" s="344" t="e">
        <f t="shared" si="16"/>
        <v>#N/A</v>
      </c>
      <c r="AE9" s="546" t="e">
        <f t="shared" si="16"/>
        <v>#N/A</v>
      </c>
      <c r="AF9" s="547" t="e">
        <f t="shared" si="16"/>
        <v>#N/A</v>
      </c>
      <c r="AG9" s="344" t="e">
        <f t="shared" si="16"/>
        <v>#N/A</v>
      </c>
      <c r="AH9" s="546" t="e">
        <f t="shared" si="16"/>
        <v>#N/A</v>
      </c>
      <c r="AI9" s="547" t="e">
        <f t="shared" si="16"/>
        <v>#N/A</v>
      </c>
      <c r="AJ9" s="344" t="e">
        <f t="shared" si="16"/>
        <v>#N/A</v>
      </c>
      <c r="AK9" s="546" t="e">
        <f t="shared" si="16"/>
        <v>#N/A</v>
      </c>
      <c r="AL9" s="547" t="e">
        <f t="shared" si="16"/>
        <v>#N/A</v>
      </c>
      <c r="AM9" s="344" t="e">
        <f t="shared" si="16"/>
        <v>#N/A</v>
      </c>
      <c r="AN9" s="546" t="e">
        <f t="shared" si="16"/>
        <v>#N/A</v>
      </c>
      <c r="AO9" s="547" t="e">
        <f t="shared" si="16"/>
        <v>#N/A</v>
      </c>
      <c r="AP9" s="551" t="e">
        <f t="shared" si="16"/>
        <v>#N/A</v>
      </c>
      <c r="AQ9" s="552" t="e">
        <f t="shared" si="16"/>
        <v>#N/A</v>
      </c>
      <c r="AR9" s="552" t="e">
        <f t="shared" si="16"/>
        <v>#N/A</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25">
      <c r="A10" s="375" t="s">
        <v>874</v>
      </c>
      <c r="B10" s="376" t="s">
        <v>1184</v>
      </c>
      <c r="C10" s="575" t="e">
        <f>C9*0.86/1000</f>
        <v>#N/A</v>
      </c>
      <c r="D10" s="576">
        <f>D9*0.86/1000</f>
        <v>0</v>
      </c>
      <c r="E10" s="577" t="e">
        <f>E9*0.86/1000</f>
        <v>#VALUE!</v>
      </c>
      <c r="F10" s="87" t="e">
        <f>C10/'Ввод исходных данных'!$G$44</f>
        <v>#N/A</v>
      </c>
      <c r="G10" s="556" t="s">
        <v>874</v>
      </c>
      <c r="H10" s="557" t="s">
        <v>1184</v>
      </c>
      <c r="I10" s="578" t="e">
        <f t="shared" ref="I10:AR10" si="17">I9*0.86/1000</f>
        <v>#N/A</v>
      </c>
      <c r="J10" s="299" t="e">
        <f t="shared" si="17"/>
        <v>#N/A</v>
      </c>
      <c r="K10" s="579" t="e">
        <f t="shared" si="17"/>
        <v>#N/A</v>
      </c>
      <c r="L10" s="578" t="e">
        <f t="shared" si="17"/>
        <v>#N/A</v>
      </c>
      <c r="M10" s="299" t="e">
        <f t="shared" si="17"/>
        <v>#N/A</v>
      </c>
      <c r="N10" s="579" t="e">
        <f t="shared" si="17"/>
        <v>#N/A</v>
      </c>
      <c r="O10" s="578" t="e">
        <f t="shared" si="17"/>
        <v>#N/A</v>
      </c>
      <c r="P10" s="299" t="e">
        <f t="shared" si="17"/>
        <v>#N/A</v>
      </c>
      <c r="Q10" s="579" t="e">
        <f t="shared" si="17"/>
        <v>#N/A</v>
      </c>
      <c r="R10" s="578" t="e">
        <f t="shared" si="17"/>
        <v>#N/A</v>
      </c>
      <c r="S10" s="299" t="e">
        <f t="shared" si="17"/>
        <v>#N/A</v>
      </c>
      <c r="T10" s="579" t="e">
        <f t="shared" si="17"/>
        <v>#N/A</v>
      </c>
      <c r="U10" s="578" t="e">
        <f t="shared" si="17"/>
        <v>#N/A</v>
      </c>
      <c r="V10" s="299" t="e">
        <f t="shared" si="17"/>
        <v>#N/A</v>
      </c>
      <c r="W10" s="579" t="e">
        <f t="shared" si="17"/>
        <v>#N/A</v>
      </c>
      <c r="X10" s="578" t="e">
        <f t="shared" si="17"/>
        <v>#N/A</v>
      </c>
      <c r="Y10" s="299" t="e">
        <f t="shared" si="17"/>
        <v>#N/A</v>
      </c>
      <c r="Z10" s="579" t="e">
        <f t="shared" si="17"/>
        <v>#N/A</v>
      </c>
      <c r="AA10" s="578" t="e">
        <f t="shared" si="17"/>
        <v>#N/A</v>
      </c>
      <c r="AB10" s="299" t="e">
        <f t="shared" si="17"/>
        <v>#N/A</v>
      </c>
      <c r="AC10" s="579" t="e">
        <f t="shared" si="17"/>
        <v>#N/A</v>
      </c>
      <c r="AD10" s="578" t="e">
        <f t="shared" si="17"/>
        <v>#N/A</v>
      </c>
      <c r="AE10" s="299" t="e">
        <f t="shared" si="17"/>
        <v>#N/A</v>
      </c>
      <c r="AF10" s="579" t="e">
        <f t="shared" si="17"/>
        <v>#N/A</v>
      </c>
      <c r="AG10" s="578" t="e">
        <f t="shared" si="17"/>
        <v>#N/A</v>
      </c>
      <c r="AH10" s="299" t="e">
        <f t="shared" si="17"/>
        <v>#N/A</v>
      </c>
      <c r="AI10" s="579" t="e">
        <f t="shared" si="17"/>
        <v>#N/A</v>
      </c>
      <c r="AJ10" s="578" t="e">
        <f t="shared" si="17"/>
        <v>#N/A</v>
      </c>
      <c r="AK10" s="299" t="e">
        <f t="shared" si="17"/>
        <v>#N/A</v>
      </c>
      <c r="AL10" s="579" t="e">
        <f t="shared" si="17"/>
        <v>#N/A</v>
      </c>
      <c r="AM10" s="578" t="e">
        <f t="shared" si="17"/>
        <v>#N/A</v>
      </c>
      <c r="AN10" s="299" t="e">
        <f t="shared" si="17"/>
        <v>#N/A</v>
      </c>
      <c r="AO10" s="579" t="e">
        <f t="shared" si="17"/>
        <v>#N/A</v>
      </c>
      <c r="AP10" s="580" t="e">
        <f t="shared" si="17"/>
        <v>#N/A</v>
      </c>
      <c r="AQ10" s="299" t="e">
        <f t="shared" si="17"/>
        <v>#N/A</v>
      </c>
      <c r="AR10" s="299" t="e">
        <f t="shared" si="17"/>
        <v>#N/A</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25">
      <c r="A11" s="375" t="s">
        <v>874</v>
      </c>
      <c r="B11" s="376" t="s">
        <v>1181</v>
      </c>
      <c r="C11" s="581" t="e">
        <f>C9/$C$6</f>
        <v>#N/A</v>
      </c>
      <c r="D11" s="582" t="e">
        <f>D9/$D$6</f>
        <v>#DIV/0!</v>
      </c>
      <c r="E11" s="583"/>
      <c r="F11" s="87" t="e">
        <f>E10/'Ввод исходных данных'!$G$44</f>
        <v>#VALUE!</v>
      </c>
      <c r="G11" s="556"/>
      <c r="H11" s="557"/>
      <c r="I11" s="584" t="e">
        <f t="shared" ref="I11:AR11" si="18">I9/I$6</f>
        <v>#N/A</v>
      </c>
      <c r="J11" s="570" t="e">
        <f t="shared" si="18"/>
        <v>#N/A</v>
      </c>
      <c r="K11" s="585" t="e">
        <f t="shared" si="18"/>
        <v>#N/A</v>
      </c>
      <c r="L11" s="584" t="e">
        <f t="shared" si="18"/>
        <v>#N/A</v>
      </c>
      <c r="M11" s="570" t="e">
        <f t="shared" si="18"/>
        <v>#N/A</v>
      </c>
      <c r="N11" s="585" t="e">
        <f t="shared" si="18"/>
        <v>#N/A</v>
      </c>
      <c r="O11" s="584" t="e">
        <f t="shared" si="18"/>
        <v>#N/A</v>
      </c>
      <c r="P11" s="570" t="e">
        <f t="shared" si="18"/>
        <v>#N/A</v>
      </c>
      <c r="Q11" s="585" t="e">
        <f t="shared" si="18"/>
        <v>#N/A</v>
      </c>
      <c r="R11" s="584" t="e">
        <f t="shared" si="18"/>
        <v>#N/A</v>
      </c>
      <c r="S11" s="570" t="e">
        <f t="shared" si="18"/>
        <v>#N/A</v>
      </c>
      <c r="T11" s="585" t="e">
        <f t="shared" si="18"/>
        <v>#N/A</v>
      </c>
      <c r="U11" s="584" t="e">
        <f t="shared" si="18"/>
        <v>#N/A</v>
      </c>
      <c r="V11" s="570" t="e">
        <f t="shared" si="18"/>
        <v>#N/A</v>
      </c>
      <c r="W11" s="585" t="e">
        <f t="shared" si="18"/>
        <v>#N/A</v>
      </c>
      <c r="X11" s="584" t="e">
        <f t="shared" si="18"/>
        <v>#N/A</v>
      </c>
      <c r="Y11" s="570" t="e">
        <f t="shared" si="18"/>
        <v>#N/A</v>
      </c>
      <c r="Z11" s="585" t="e">
        <f t="shared" si="18"/>
        <v>#N/A</v>
      </c>
      <c r="AA11" s="584" t="e">
        <f t="shared" si="18"/>
        <v>#N/A</v>
      </c>
      <c r="AB11" s="570" t="e">
        <f t="shared" si="18"/>
        <v>#N/A</v>
      </c>
      <c r="AC11" s="585" t="e">
        <f t="shared" si="18"/>
        <v>#N/A</v>
      </c>
      <c r="AD11" s="584" t="e">
        <f t="shared" si="18"/>
        <v>#N/A</v>
      </c>
      <c r="AE11" s="570" t="e">
        <f t="shared" si="18"/>
        <v>#N/A</v>
      </c>
      <c r="AF11" s="585" t="e">
        <f t="shared" si="18"/>
        <v>#N/A</v>
      </c>
      <c r="AG11" s="584" t="e">
        <f t="shared" si="18"/>
        <v>#N/A</v>
      </c>
      <c r="AH11" s="570" t="e">
        <f t="shared" si="18"/>
        <v>#N/A</v>
      </c>
      <c r="AI11" s="585" t="e">
        <f t="shared" si="18"/>
        <v>#N/A</v>
      </c>
      <c r="AJ11" s="584" t="e">
        <f t="shared" si="18"/>
        <v>#N/A</v>
      </c>
      <c r="AK11" s="570" t="e">
        <f t="shared" si="18"/>
        <v>#N/A</v>
      </c>
      <c r="AL11" s="585" t="e">
        <f t="shared" si="18"/>
        <v>#N/A</v>
      </c>
      <c r="AM11" s="584" t="e">
        <f t="shared" si="18"/>
        <v>#N/A</v>
      </c>
      <c r="AN11" s="570" t="e">
        <f t="shared" si="18"/>
        <v>#N/A</v>
      </c>
      <c r="AO11" s="585" t="e">
        <f t="shared" si="18"/>
        <v>#N/A</v>
      </c>
      <c r="AP11" s="569" t="e">
        <f t="shared" si="18"/>
        <v>#N/A</v>
      </c>
      <c r="AQ11" s="570" t="e">
        <f t="shared" si="18"/>
        <v>#N/A</v>
      </c>
      <c r="AR11" s="570" t="e">
        <f t="shared" si="18"/>
        <v>#N/A</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25">
      <c r="A12" s="586" t="s">
        <v>1185</v>
      </c>
      <c r="B12" s="587" t="s">
        <v>842</v>
      </c>
      <c r="C12" s="588" t="e">
        <f>C35</f>
        <v>#N/A</v>
      </c>
      <c r="D12" s="589">
        <f>D35</f>
        <v>0</v>
      </c>
      <c r="E12" s="590" t="e">
        <f>E35</f>
        <v>#VALUE!</v>
      </c>
      <c r="F12" s="87"/>
      <c r="G12" s="591" t="s">
        <v>1185</v>
      </c>
      <c r="H12" s="592" t="s">
        <v>842</v>
      </c>
      <c r="I12" s="593" t="e">
        <f t="shared" ref="I12:AR12" si="19">I35</f>
        <v>#N/A</v>
      </c>
      <c r="J12" s="322" t="e">
        <f t="shared" si="19"/>
        <v>#N/A</v>
      </c>
      <c r="K12" s="594" t="e">
        <f t="shared" si="19"/>
        <v>#N/A</v>
      </c>
      <c r="L12" s="595" t="e">
        <f t="shared" si="19"/>
        <v>#N/A</v>
      </c>
      <c r="M12" s="322" t="e">
        <f t="shared" si="19"/>
        <v>#N/A</v>
      </c>
      <c r="N12" s="594" t="e">
        <f t="shared" si="19"/>
        <v>#N/A</v>
      </c>
      <c r="O12" s="595" t="e">
        <f t="shared" si="19"/>
        <v>#N/A</v>
      </c>
      <c r="P12" s="322" t="e">
        <f t="shared" si="19"/>
        <v>#N/A</v>
      </c>
      <c r="Q12" s="594" t="e">
        <f t="shared" si="19"/>
        <v>#N/A</v>
      </c>
      <c r="R12" s="595" t="e">
        <f t="shared" si="19"/>
        <v>#N/A</v>
      </c>
      <c r="S12" s="322" t="e">
        <f t="shared" si="19"/>
        <v>#N/A</v>
      </c>
      <c r="T12" s="594" t="e">
        <f t="shared" si="19"/>
        <v>#N/A</v>
      </c>
      <c r="U12" s="593" t="e">
        <f t="shared" si="19"/>
        <v>#N/A</v>
      </c>
      <c r="V12" s="322" t="e">
        <f t="shared" si="19"/>
        <v>#N/A</v>
      </c>
      <c r="W12" s="594" t="e">
        <f t="shared" si="19"/>
        <v>#N/A</v>
      </c>
      <c r="X12" s="593" t="e">
        <f t="shared" si="19"/>
        <v>#N/A</v>
      </c>
      <c r="Y12" s="322" t="e">
        <f t="shared" si="19"/>
        <v>#N/A</v>
      </c>
      <c r="Z12" s="594" t="e">
        <f t="shared" si="19"/>
        <v>#N/A</v>
      </c>
      <c r="AA12" s="595" t="e">
        <f t="shared" si="19"/>
        <v>#N/A</v>
      </c>
      <c r="AB12" s="322" t="e">
        <f t="shared" si="19"/>
        <v>#N/A</v>
      </c>
      <c r="AC12" s="594" t="e">
        <f t="shared" si="19"/>
        <v>#N/A</v>
      </c>
      <c r="AD12" s="593" t="e">
        <f t="shared" si="19"/>
        <v>#N/A</v>
      </c>
      <c r="AE12" s="322" t="e">
        <f t="shared" si="19"/>
        <v>#N/A</v>
      </c>
      <c r="AF12" s="594" t="e">
        <f t="shared" si="19"/>
        <v>#N/A</v>
      </c>
      <c r="AG12" s="595" t="e">
        <f t="shared" si="19"/>
        <v>#N/A</v>
      </c>
      <c r="AH12" s="322" t="e">
        <f t="shared" si="19"/>
        <v>#N/A</v>
      </c>
      <c r="AI12" s="594" t="e">
        <f t="shared" si="19"/>
        <v>#N/A</v>
      </c>
      <c r="AJ12" s="593" t="e">
        <f t="shared" si="19"/>
        <v>#N/A</v>
      </c>
      <c r="AK12" s="322" t="e">
        <f t="shared" si="19"/>
        <v>#N/A</v>
      </c>
      <c r="AL12" s="594" t="e">
        <f t="shared" si="19"/>
        <v>#N/A</v>
      </c>
      <c r="AM12" s="595" t="e">
        <f t="shared" si="19"/>
        <v>#N/A</v>
      </c>
      <c r="AN12" s="322" t="e">
        <f t="shared" si="19"/>
        <v>#N/A</v>
      </c>
      <c r="AO12" s="594" t="e">
        <f t="shared" si="19"/>
        <v>#N/A</v>
      </c>
      <c r="AP12" s="596" t="e">
        <f t="shared" si="19"/>
        <v>#N/A</v>
      </c>
      <c r="AQ12" s="322" t="e">
        <f t="shared" si="19"/>
        <v>#N/A</v>
      </c>
      <c r="AR12" s="322" t="e">
        <f t="shared" si="19"/>
        <v>#N/A</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25">
      <c r="A13" s="375" t="s">
        <v>874</v>
      </c>
      <c r="B13" s="376" t="s">
        <v>1184</v>
      </c>
      <c r="C13" s="575" t="e">
        <f>C12*0.86/1000</f>
        <v>#N/A</v>
      </c>
      <c r="D13" s="576">
        <f>D36</f>
        <v>0</v>
      </c>
      <c r="E13" s="577" t="e">
        <f>E36</f>
        <v>#VALUE!</v>
      </c>
      <c r="F13" s="87" t="e">
        <f>C13/'Ввод исходных данных'!$G$44</f>
        <v>#N/A</v>
      </c>
      <c r="G13" s="556" t="s">
        <v>874</v>
      </c>
      <c r="H13" s="557" t="s">
        <v>1184</v>
      </c>
      <c r="I13" s="578" t="e">
        <f>I12*0.86/1000</f>
        <v>#N/A</v>
      </c>
      <c r="J13" s="299" t="e">
        <f>J36</f>
        <v>#N/A</v>
      </c>
      <c r="K13" s="579" t="e">
        <f>K36</f>
        <v>#N/A</v>
      </c>
      <c r="L13" s="578" t="e">
        <f>L12*0.86/1000</f>
        <v>#N/A</v>
      </c>
      <c r="M13" s="299" t="e">
        <f>M36</f>
        <v>#N/A</v>
      </c>
      <c r="N13" s="579" t="e">
        <f>N36</f>
        <v>#N/A</v>
      </c>
      <c r="O13" s="578" t="e">
        <f>O12*0.86/1000</f>
        <v>#N/A</v>
      </c>
      <c r="P13" s="299" t="e">
        <f>P36</f>
        <v>#N/A</v>
      </c>
      <c r="Q13" s="579" t="e">
        <f>Q36</f>
        <v>#N/A</v>
      </c>
      <c r="R13" s="578" t="e">
        <f>R12*0.86/1000</f>
        <v>#N/A</v>
      </c>
      <c r="S13" s="299" t="e">
        <f>S36</f>
        <v>#N/A</v>
      </c>
      <c r="T13" s="579" t="e">
        <f>T36</f>
        <v>#N/A</v>
      </c>
      <c r="U13" s="578" t="e">
        <f>U12*0.86/1000</f>
        <v>#N/A</v>
      </c>
      <c r="V13" s="299" t="e">
        <f>V36</f>
        <v>#N/A</v>
      </c>
      <c r="W13" s="579" t="e">
        <f>W36</f>
        <v>#N/A</v>
      </c>
      <c r="X13" s="578" t="e">
        <f>X12*0.86/1000</f>
        <v>#N/A</v>
      </c>
      <c r="Y13" s="299" t="e">
        <f>Y36</f>
        <v>#N/A</v>
      </c>
      <c r="Z13" s="579" t="e">
        <f>Z36</f>
        <v>#N/A</v>
      </c>
      <c r="AA13" s="578" t="e">
        <f>AA12*0.86/1000</f>
        <v>#N/A</v>
      </c>
      <c r="AB13" s="299" t="e">
        <f>AB36</f>
        <v>#N/A</v>
      </c>
      <c r="AC13" s="579" t="e">
        <f>AC36</f>
        <v>#N/A</v>
      </c>
      <c r="AD13" s="578" t="e">
        <f>AD12*0.86/1000</f>
        <v>#N/A</v>
      </c>
      <c r="AE13" s="299" t="e">
        <f>AE36</f>
        <v>#N/A</v>
      </c>
      <c r="AF13" s="579" t="e">
        <f>AF36</f>
        <v>#N/A</v>
      </c>
      <c r="AG13" s="578" t="e">
        <f>AG12*0.86/1000</f>
        <v>#N/A</v>
      </c>
      <c r="AH13" s="299" t="e">
        <f>AH36</f>
        <v>#N/A</v>
      </c>
      <c r="AI13" s="579" t="e">
        <f>AI36</f>
        <v>#N/A</v>
      </c>
      <c r="AJ13" s="578" t="e">
        <f>AJ12*0.86/1000</f>
        <v>#N/A</v>
      </c>
      <c r="AK13" s="299" t="e">
        <f>AK36</f>
        <v>#N/A</v>
      </c>
      <c r="AL13" s="579" t="e">
        <f>AL36</f>
        <v>#N/A</v>
      </c>
      <c r="AM13" s="578" t="e">
        <f>AM12*0.86/1000</f>
        <v>#N/A</v>
      </c>
      <c r="AN13" s="299" t="e">
        <f>AN36</f>
        <v>#N/A</v>
      </c>
      <c r="AO13" s="579" t="e">
        <f>AO36</f>
        <v>#N/A</v>
      </c>
      <c r="AP13" s="580" t="e">
        <f>AP12*0.86/1000</f>
        <v>#N/A</v>
      </c>
      <c r="AQ13" s="299" t="e">
        <f>AQ36</f>
        <v>#N/A</v>
      </c>
      <c r="AR13" s="299" t="e">
        <f>AR36</f>
        <v>#N/A</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25">
      <c r="A14" s="375" t="s">
        <v>874</v>
      </c>
      <c r="B14" s="376" t="s">
        <v>1181</v>
      </c>
      <c r="C14" s="581" t="e">
        <f>C12/$C$6</f>
        <v>#N/A</v>
      </c>
      <c r="D14" s="582" t="e">
        <f>D12/$D$6</f>
        <v>#DIV/0!</v>
      </c>
      <c r="E14" s="583"/>
      <c r="F14" s="87" t="e">
        <f>E13/'Ввод исходных данных'!$G$44</f>
        <v>#VALUE!</v>
      </c>
      <c r="G14" s="556"/>
      <c r="H14" s="557"/>
      <c r="I14" s="584" t="e">
        <f t="shared" ref="I14:AR14" si="20">I12/I$6</f>
        <v>#N/A</v>
      </c>
      <c r="J14" s="570" t="e">
        <f t="shared" si="20"/>
        <v>#N/A</v>
      </c>
      <c r="K14" s="585" t="e">
        <f t="shared" si="20"/>
        <v>#N/A</v>
      </c>
      <c r="L14" s="584" t="e">
        <f t="shared" si="20"/>
        <v>#N/A</v>
      </c>
      <c r="M14" s="570" t="e">
        <f t="shared" si="20"/>
        <v>#N/A</v>
      </c>
      <c r="N14" s="585" t="e">
        <f t="shared" si="20"/>
        <v>#N/A</v>
      </c>
      <c r="O14" s="584" t="e">
        <f t="shared" si="20"/>
        <v>#N/A</v>
      </c>
      <c r="P14" s="570" t="e">
        <f t="shared" si="20"/>
        <v>#N/A</v>
      </c>
      <c r="Q14" s="585" t="e">
        <f t="shared" si="20"/>
        <v>#N/A</v>
      </c>
      <c r="R14" s="584" t="e">
        <f t="shared" si="20"/>
        <v>#N/A</v>
      </c>
      <c r="S14" s="570" t="e">
        <f t="shared" si="20"/>
        <v>#N/A</v>
      </c>
      <c r="T14" s="585" t="e">
        <f t="shared" si="20"/>
        <v>#N/A</v>
      </c>
      <c r="U14" s="584" t="e">
        <f t="shared" si="20"/>
        <v>#N/A</v>
      </c>
      <c r="V14" s="570" t="e">
        <f t="shared" si="20"/>
        <v>#N/A</v>
      </c>
      <c r="W14" s="585" t="e">
        <f t="shared" si="20"/>
        <v>#N/A</v>
      </c>
      <c r="X14" s="584" t="e">
        <f t="shared" si="20"/>
        <v>#N/A</v>
      </c>
      <c r="Y14" s="570" t="e">
        <f t="shared" si="20"/>
        <v>#N/A</v>
      </c>
      <c r="Z14" s="585" t="e">
        <f t="shared" si="20"/>
        <v>#N/A</v>
      </c>
      <c r="AA14" s="584" t="e">
        <f t="shared" si="20"/>
        <v>#N/A</v>
      </c>
      <c r="AB14" s="570" t="e">
        <f t="shared" si="20"/>
        <v>#N/A</v>
      </c>
      <c r="AC14" s="585" t="e">
        <f t="shared" si="20"/>
        <v>#N/A</v>
      </c>
      <c r="AD14" s="584" t="e">
        <f t="shared" si="20"/>
        <v>#N/A</v>
      </c>
      <c r="AE14" s="570" t="e">
        <f t="shared" si="20"/>
        <v>#N/A</v>
      </c>
      <c r="AF14" s="585" t="e">
        <f t="shared" si="20"/>
        <v>#N/A</v>
      </c>
      <c r="AG14" s="584" t="e">
        <f t="shared" si="20"/>
        <v>#N/A</v>
      </c>
      <c r="AH14" s="570" t="e">
        <f t="shared" si="20"/>
        <v>#N/A</v>
      </c>
      <c r="AI14" s="585" t="e">
        <f t="shared" si="20"/>
        <v>#N/A</v>
      </c>
      <c r="AJ14" s="584" t="e">
        <f t="shared" si="20"/>
        <v>#N/A</v>
      </c>
      <c r="AK14" s="570" t="e">
        <f t="shared" si="20"/>
        <v>#N/A</v>
      </c>
      <c r="AL14" s="585" t="e">
        <f t="shared" si="20"/>
        <v>#N/A</v>
      </c>
      <c r="AM14" s="584" t="e">
        <f t="shared" si="20"/>
        <v>#N/A</v>
      </c>
      <c r="AN14" s="570" t="e">
        <f t="shared" si="20"/>
        <v>#N/A</v>
      </c>
      <c r="AO14" s="585" t="e">
        <f t="shared" si="20"/>
        <v>#N/A</v>
      </c>
      <c r="AP14" s="569" t="e">
        <f t="shared" si="20"/>
        <v>#N/A</v>
      </c>
      <c r="AQ14" s="570" t="e">
        <f t="shared" si="20"/>
        <v>#N/A</v>
      </c>
      <c r="AR14" s="570" t="e">
        <f t="shared" si="20"/>
        <v>#N/A</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25">
      <c r="A15" s="586" t="s">
        <v>999</v>
      </c>
      <c r="B15" s="587" t="s">
        <v>842</v>
      </c>
      <c r="C15" s="597" t="e">
        <f>C85</f>
        <v>#N/A</v>
      </c>
      <c r="D15" s="598">
        <f>D85</f>
        <v>0</v>
      </c>
      <c r="E15" s="599">
        <f>D85</f>
        <v>0</v>
      </c>
      <c r="F15" s="87" t="e">
        <f>E13/C13-1</f>
        <v>#VALUE!</v>
      </c>
      <c r="G15" s="591" t="s">
        <v>999</v>
      </c>
      <c r="H15" s="592" t="s">
        <v>842</v>
      </c>
      <c r="I15" s="593" t="e">
        <f t="shared" ref="I15:J15" si="21">I85</f>
        <v>#N/A</v>
      </c>
      <c r="J15" s="322" t="e">
        <f t="shared" si="21"/>
        <v>#N/A</v>
      </c>
      <c r="K15" s="600" t="e">
        <f>J15</f>
        <v>#N/A</v>
      </c>
      <c r="L15" s="593" t="e">
        <f>K85</f>
        <v>#N/A</v>
      </c>
      <c r="M15" s="322" t="e">
        <f>L85</f>
        <v>#N/A</v>
      </c>
      <c r="N15" s="601" t="e">
        <f>M15</f>
        <v>#N/A</v>
      </c>
      <c r="O15" s="595" t="e">
        <f>M85</f>
        <v>#N/A</v>
      </c>
      <c r="P15" s="323" t="e">
        <f>N85</f>
        <v>#N/A</v>
      </c>
      <c r="Q15" s="600" t="e">
        <f>P15</f>
        <v>#N/A</v>
      </c>
      <c r="R15" s="595" t="e">
        <f>O85</f>
        <v>#N/A</v>
      </c>
      <c r="S15" s="323" t="e">
        <f>P85</f>
        <v>#N/A</v>
      </c>
      <c r="T15" s="594" t="e">
        <f>S15</f>
        <v>#N/A</v>
      </c>
      <c r="U15" s="593" t="e">
        <f>Q85</f>
        <v>#N/A</v>
      </c>
      <c r="V15" s="322" t="e">
        <f>R85</f>
        <v>#N/A</v>
      </c>
      <c r="W15" s="600" t="e">
        <f>V15</f>
        <v>#N/A</v>
      </c>
      <c r="X15" s="593" t="e">
        <f>S85</f>
        <v>#N/A</v>
      </c>
      <c r="Y15" s="322" t="e">
        <f>T85</f>
        <v>#N/A</v>
      </c>
      <c r="Z15" s="600" t="e">
        <f>Y15</f>
        <v>#N/A</v>
      </c>
      <c r="AA15" s="593" t="e">
        <f>U85</f>
        <v>#N/A</v>
      </c>
      <c r="AB15" s="322" t="e">
        <f>V85</f>
        <v>#N/A</v>
      </c>
      <c r="AC15" s="600" t="e">
        <f>AB15</f>
        <v>#N/A</v>
      </c>
      <c r="AD15" s="593" t="e">
        <f>W85</f>
        <v>#N/A</v>
      </c>
      <c r="AE15" s="322" t="e">
        <f>X85</f>
        <v>#N/A</v>
      </c>
      <c r="AF15" s="594" t="e">
        <f>AE15</f>
        <v>#N/A</v>
      </c>
      <c r="AG15" s="595" t="e">
        <f>Y85</f>
        <v>#N/A</v>
      </c>
      <c r="AH15" s="323" t="e">
        <f>Z85</f>
        <v>#N/A</v>
      </c>
      <c r="AI15" s="600" t="e">
        <f>AH15</f>
        <v>#N/A</v>
      </c>
      <c r="AJ15" s="595" t="e">
        <f>AA85</f>
        <v>#N/A</v>
      </c>
      <c r="AK15" s="323" t="e">
        <f>AB85</f>
        <v>#N/A</v>
      </c>
      <c r="AL15" s="600" t="e">
        <f>AK15</f>
        <v>#N/A</v>
      </c>
      <c r="AM15" s="595" t="e">
        <f>AC85</f>
        <v>#N/A</v>
      </c>
      <c r="AN15" s="323" t="e">
        <f>AD85</f>
        <v>#N/A</v>
      </c>
      <c r="AO15" s="600" t="e">
        <f>AN15</f>
        <v>#N/A</v>
      </c>
      <c r="AP15" s="602" t="e">
        <f>AE85</f>
        <v>#N/A</v>
      </c>
      <c r="AQ15" s="322" t="e">
        <f>AF85</f>
        <v>#N/A</v>
      </c>
      <c r="AR15" s="323" t="e">
        <f>AQ15</f>
        <v>#N/A</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25">
      <c r="A16" s="375" t="s">
        <v>874</v>
      </c>
      <c r="B16" s="376" t="s">
        <v>1184</v>
      </c>
      <c r="C16" s="575" t="e">
        <f>C15*0.86/1000</f>
        <v>#N/A</v>
      </c>
      <c r="D16" s="681">
        <f>D86</f>
        <v>0</v>
      </c>
      <c r="E16" s="1285">
        <f>D86</f>
        <v>0</v>
      </c>
      <c r="F16" s="87"/>
      <c r="G16" s="556" t="s">
        <v>874</v>
      </c>
      <c r="H16" s="557" t="s">
        <v>1184</v>
      </c>
      <c r="I16" s="578" t="e">
        <f>I15*0.86/1000</f>
        <v>#N/A</v>
      </c>
      <c r="J16" s="108" t="e">
        <f>J86</f>
        <v>#N/A</v>
      </c>
      <c r="K16" s="603" t="e">
        <f>J16</f>
        <v>#N/A</v>
      </c>
      <c r="L16" s="578" t="e">
        <f>L15*0.86/1000</f>
        <v>#N/A</v>
      </c>
      <c r="M16" s="108" t="e">
        <f>L86</f>
        <v>#N/A</v>
      </c>
      <c r="N16" s="604" t="e">
        <f>M16</f>
        <v>#N/A</v>
      </c>
      <c r="O16" s="578" t="e">
        <f>O15*0.86/1000</f>
        <v>#N/A</v>
      </c>
      <c r="P16" s="108" t="e">
        <f>N86</f>
        <v>#N/A</v>
      </c>
      <c r="Q16" s="603" t="e">
        <f>P16</f>
        <v>#N/A</v>
      </c>
      <c r="R16" s="578" t="e">
        <f>R15*0.86/1000</f>
        <v>#N/A</v>
      </c>
      <c r="S16" s="108" t="e">
        <f>P86</f>
        <v>#N/A</v>
      </c>
      <c r="T16" s="603" t="e">
        <f>S16</f>
        <v>#N/A</v>
      </c>
      <c r="U16" s="578" t="e">
        <f>U15*0.86/1000</f>
        <v>#N/A</v>
      </c>
      <c r="V16" s="108" t="e">
        <f>R86</f>
        <v>#N/A</v>
      </c>
      <c r="W16" s="603" t="e">
        <f>V16</f>
        <v>#N/A</v>
      </c>
      <c r="X16" s="578" t="e">
        <f>X15*0.86/1000</f>
        <v>#N/A</v>
      </c>
      <c r="Y16" s="108" t="e">
        <f>T86</f>
        <v>#N/A</v>
      </c>
      <c r="Z16" s="603" t="e">
        <f>Y16</f>
        <v>#N/A</v>
      </c>
      <c r="AA16" s="578" t="e">
        <f>AA15*0.86/1000</f>
        <v>#N/A</v>
      </c>
      <c r="AB16" s="108" t="e">
        <f>V86</f>
        <v>#N/A</v>
      </c>
      <c r="AC16" s="603" t="e">
        <f>AB16</f>
        <v>#N/A</v>
      </c>
      <c r="AD16" s="578" t="e">
        <f>AD15*0.86/1000</f>
        <v>#N/A</v>
      </c>
      <c r="AE16" s="108" t="e">
        <f>X86</f>
        <v>#N/A</v>
      </c>
      <c r="AF16" s="603" t="e">
        <f>AE16</f>
        <v>#N/A</v>
      </c>
      <c r="AG16" s="578" t="e">
        <f>AG15*0.86/1000</f>
        <v>#N/A</v>
      </c>
      <c r="AH16" s="108" t="e">
        <f>Z86</f>
        <v>#N/A</v>
      </c>
      <c r="AI16" s="603" t="e">
        <f>AH16</f>
        <v>#N/A</v>
      </c>
      <c r="AJ16" s="578" t="e">
        <f>AJ15*0.86/1000</f>
        <v>#N/A</v>
      </c>
      <c r="AK16" s="108" t="e">
        <f>AB86</f>
        <v>#N/A</v>
      </c>
      <c r="AL16" s="603" t="e">
        <f>AK16</f>
        <v>#N/A</v>
      </c>
      <c r="AM16" s="578" t="e">
        <f>AM15*0.86/1000</f>
        <v>#N/A</v>
      </c>
      <c r="AN16" s="108" t="e">
        <f>AD86</f>
        <v>#N/A</v>
      </c>
      <c r="AO16" s="603" t="e">
        <f>AN16</f>
        <v>#N/A</v>
      </c>
      <c r="AP16" s="580" t="e">
        <f>AP15*0.86/1000</f>
        <v>#N/A</v>
      </c>
      <c r="AQ16" s="108" t="e">
        <f>AF86</f>
        <v>#N/A</v>
      </c>
      <c r="AR16" s="108" t="e">
        <f>AQ16</f>
        <v>#N/A</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
      <c r="A17" s="402" t="s">
        <v>874</v>
      </c>
      <c r="B17" s="403" t="s">
        <v>1181</v>
      </c>
      <c r="C17" s="605" t="e">
        <f>C15/$C$6</f>
        <v>#N/A</v>
      </c>
      <c r="D17" s="606" t="e">
        <f>D15/$D$6</f>
        <v>#DIV/0!</v>
      </c>
      <c r="E17" s="607"/>
      <c r="F17" s="87"/>
      <c r="G17" s="561"/>
      <c r="H17" s="562"/>
      <c r="I17" s="563" t="e">
        <f t="shared" ref="I17:AR17" si="22">I15/I$6</f>
        <v>#N/A</v>
      </c>
      <c r="J17" s="564" t="e">
        <f t="shared" si="22"/>
        <v>#N/A</v>
      </c>
      <c r="K17" s="565" t="e">
        <f t="shared" si="22"/>
        <v>#N/A</v>
      </c>
      <c r="L17" s="563" t="e">
        <f t="shared" si="22"/>
        <v>#N/A</v>
      </c>
      <c r="M17" s="564" t="e">
        <f t="shared" si="22"/>
        <v>#N/A</v>
      </c>
      <c r="N17" s="608" t="e">
        <f t="shared" si="22"/>
        <v>#N/A</v>
      </c>
      <c r="O17" s="563" t="e">
        <f t="shared" si="22"/>
        <v>#N/A</v>
      </c>
      <c r="P17" s="564" t="e">
        <f t="shared" si="22"/>
        <v>#N/A</v>
      </c>
      <c r="Q17" s="565" t="e">
        <f t="shared" si="22"/>
        <v>#N/A</v>
      </c>
      <c r="R17" s="563" t="e">
        <f t="shared" si="22"/>
        <v>#N/A</v>
      </c>
      <c r="S17" s="564" t="e">
        <f t="shared" si="22"/>
        <v>#N/A</v>
      </c>
      <c r="T17" s="565" t="e">
        <f t="shared" si="22"/>
        <v>#N/A</v>
      </c>
      <c r="U17" s="563" t="e">
        <f t="shared" si="22"/>
        <v>#N/A</v>
      </c>
      <c r="V17" s="564" t="e">
        <f t="shared" si="22"/>
        <v>#N/A</v>
      </c>
      <c r="W17" s="565" t="e">
        <f t="shared" si="22"/>
        <v>#N/A</v>
      </c>
      <c r="X17" s="563" t="e">
        <f t="shared" si="22"/>
        <v>#N/A</v>
      </c>
      <c r="Y17" s="564" t="e">
        <f t="shared" si="22"/>
        <v>#N/A</v>
      </c>
      <c r="Z17" s="565" t="e">
        <f t="shared" si="22"/>
        <v>#N/A</v>
      </c>
      <c r="AA17" s="563" t="e">
        <f t="shared" si="22"/>
        <v>#N/A</v>
      </c>
      <c r="AB17" s="564" t="e">
        <f t="shared" si="22"/>
        <v>#N/A</v>
      </c>
      <c r="AC17" s="565" t="e">
        <f t="shared" si="22"/>
        <v>#N/A</v>
      </c>
      <c r="AD17" s="563" t="e">
        <f t="shared" si="22"/>
        <v>#N/A</v>
      </c>
      <c r="AE17" s="564" t="e">
        <f t="shared" si="22"/>
        <v>#N/A</v>
      </c>
      <c r="AF17" s="565" t="e">
        <f t="shared" si="22"/>
        <v>#N/A</v>
      </c>
      <c r="AG17" s="563" t="e">
        <f t="shared" si="22"/>
        <v>#N/A</v>
      </c>
      <c r="AH17" s="564" t="e">
        <f t="shared" si="22"/>
        <v>#N/A</v>
      </c>
      <c r="AI17" s="565" t="e">
        <f t="shared" si="22"/>
        <v>#N/A</v>
      </c>
      <c r="AJ17" s="563" t="e">
        <f t="shared" si="22"/>
        <v>#N/A</v>
      </c>
      <c r="AK17" s="564" t="e">
        <f t="shared" si="22"/>
        <v>#N/A</v>
      </c>
      <c r="AL17" s="565" t="e">
        <f t="shared" si="22"/>
        <v>#N/A</v>
      </c>
      <c r="AM17" s="563" t="e">
        <f t="shared" si="22"/>
        <v>#N/A</v>
      </c>
      <c r="AN17" s="564" t="e">
        <f t="shared" si="22"/>
        <v>#N/A</v>
      </c>
      <c r="AO17" s="565" t="e">
        <f t="shared" si="22"/>
        <v>#N/A</v>
      </c>
      <c r="AP17" s="566" t="e">
        <f t="shared" si="22"/>
        <v>#N/A</v>
      </c>
      <c r="AQ17" s="567" t="e">
        <f t="shared" si="22"/>
        <v>#N/A</v>
      </c>
      <c r="AR17" s="567" t="e">
        <f t="shared" si="22"/>
        <v>#N/A</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25">
      <c r="A18" s="539" t="s">
        <v>1188</v>
      </c>
      <c r="B18" s="609" t="s">
        <v>842</v>
      </c>
      <c r="C18" s="610" t="e">
        <f>C100</f>
        <v>#VALUE!</v>
      </c>
      <c r="D18" s="611">
        <f>D100</f>
        <v>0</v>
      </c>
      <c r="E18" s="612">
        <f>D100</f>
        <v>0</v>
      </c>
      <c r="F18" s="87"/>
      <c r="G18" s="544" t="s">
        <v>1186</v>
      </c>
      <c r="H18" s="545" t="s">
        <v>842</v>
      </c>
      <c r="I18" s="344" t="e">
        <f>I100</f>
        <v>#N/A</v>
      </c>
      <c r="J18" s="613">
        <f>J100</f>
        <v>0</v>
      </c>
      <c r="K18" s="614">
        <f>J18</f>
        <v>0</v>
      </c>
      <c r="L18" s="344" t="e">
        <f>K100</f>
        <v>#N/A</v>
      </c>
      <c r="M18" s="613">
        <f>L100</f>
        <v>0</v>
      </c>
      <c r="N18" s="614">
        <f>M18</f>
        <v>0</v>
      </c>
      <c r="O18" s="344" t="e">
        <f>M100</f>
        <v>#N/A</v>
      </c>
      <c r="P18" s="613">
        <f>N100</f>
        <v>0</v>
      </c>
      <c r="Q18" s="614">
        <f>P18</f>
        <v>0</v>
      </c>
      <c r="R18" s="344" t="e">
        <f>O100</f>
        <v>#N/A</v>
      </c>
      <c r="S18" s="613">
        <f>P100</f>
        <v>0</v>
      </c>
      <c r="T18" s="614">
        <f>S18</f>
        <v>0</v>
      </c>
      <c r="U18" s="344" t="e">
        <f>Q100</f>
        <v>#N/A</v>
      </c>
      <c r="V18" s="613">
        <f>R100</f>
        <v>0</v>
      </c>
      <c r="W18" s="614">
        <f>V18</f>
        <v>0</v>
      </c>
      <c r="X18" s="344" t="e">
        <f>S100</f>
        <v>#N/A</v>
      </c>
      <c r="Y18" s="613">
        <f>T100</f>
        <v>0</v>
      </c>
      <c r="Z18" s="614">
        <f>Y18</f>
        <v>0</v>
      </c>
      <c r="AA18" s="344" t="e">
        <f>U100</f>
        <v>#N/A</v>
      </c>
      <c r="AB18" s="613">
        <f>V100</f>
        <v>0</v>
      </c>
      <c r="AC18" s="614">
        <f>AB18</f>
        <v>0</v>
      </c>
      <c r="AD18" s="344" t="e">
        <f>W100</f>
        <v>#N/A</v>
      </c>
      <c r="AE18" s="613">
        <f>X100</f>
        <v>0</v>
      </c>
      <c r="AF18" s="614">
        <f>AE18</f>
        <v>0</v>
      </c>
      <c r="AG18" s="344" t="e">
        <f>Y100</f>
        <v>#N/A</v>
      </c>
      <c r="AH18" s="613">
        <f>Z100</f>
        <v>0</v>
      </c>
      <c r="AI18" s="614">
        <f>AH18</f>
        <v>0</v>
      </c>
      <c r="AJ18" s="344" t="e">
        <f>AA100</f>
        <v>#N/A</v>
      </c>
      <c r="AK18" s="613">
        <f>AB100</f>
        <v>0</v>
      </c>
      <c r="AL18" s="614">
        <f>AK18</f>
        <v>0</v>
      </c>
      <c r="AM18" s="344" t="e">
        <f>AC100</f>
        <v>#N/A</v>
      </c>
      <c r="AN18" s="613">
        <f>AD100</f>
        <v>0</v>
      </c>
      <c r="AO18" s="614">
        <f>AN18</f>
        <v>0</v>
      </c>
      <c r="AP18" s="344" t="e">
        <f>AE100</f>
        <v>#N/A</v>
      </c>
      <c r="AQ18" s="613">
        <f>AF100</f>
        <v>0</v>
      </c>
      <c r="AR18" s="614">
        <f>AQ18</f>
        <v>0</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
      <c r="A19" s="402" t="s">
        <v>874</v>
      </c>
      <c r="B19" s="615" t="s">
        <v>1181</v>
      </c>
      <c r="C19" s="605" t="e">
        <f>C18/$C$6</f>
        <v>#VALUE!</v>
      </c>
      <c r="D19" s="606" t="e">
        <f>D18/$D$6</f>
        <v>#DIV/0!</v>
      </c>
      <c r="E19" s="616" t="e">
        <f>E18/$E$6</f>
        <v>#VALUE!</v>
      </c>
      <c r="F19" s="87"/>
      <c r="G19" s="617"/>
      <c r="H19" s="562"/>
      <c r="I19" s="563" t="e">
        <f>I18/$C$6</f>
        <v>#N/A</v>
      </c>
      <c r="J19" s="618"/>
      <c r="K19" s="619"/>
      <c r="L19" s="563" t="e">
        <f>L18/$C$6</f>
        <v>#N/A</v>
      </c>
      <c r="M19" s="618"/>
      <c r="N19" s="619"/>
      <c r="O19" s="563" t="e">
        <f>O18/$C$6</f>
        <v>#N/A</v>
      </c>
      <c r="P19" s="618"/>
      <c r="Q19" s="619"/>
      <c r="R19" s="563" t="e">
        <f>R18/$C$6</f>
        <v>#N/A</v>
      </c>
      <c r="S19" s="618"/>
      <c r="T19" s="619"/>
      <c r="U19" s="563" t="e">
        <f>U18/$C$6</f>
        <v>#N/A</v>
      </c>
      <c r="V19" s="618"/>
      <c r="W19" s="619"/>
      <c r="X19" s="563" t="e">
        <f>X18/$C$6</f>
        <v>#N/A</v>
      </c>
      <c r="Y19" s="618"/>
      <c r="Z19" s="619"/>
      <c r="AA19" s="563" t="e">
        <f>AA18/$C$6</f>
        <v>#N/A</v>
      </c>
      <c r="AB19" s="618"/>
      <c r="AC19" s="619"/>
      <c r="AD19" s="563" t="e">
        <f>AD18/$C$6</f>
        <v>#N/A</v>
      </c>
      <c r="AE19" s="618"/>
      <c r="AF19" s="619"/>
      <c r="AG19" s="563" t="e">
        <f>AG18/$C$6</f>
        <v>#N/A</v>
      </c>
      <c r="AH19" s="618"/>
      <c r="AI19" s="619"/>
      <c r="AJ19" s="563" t="e">
        <f>AJ18/$C$6</f>
        <v>#N/A</v>
      </c>
      <c r="AK19" s="618"/>
      <c r="AL19" s="619"/>
      <c r="AM19" s="563" t="e">
        <f>AM18/$C$6</f>
        <v>#N/A</v>
      </c>
      <c r="AN19" s="618"/>
      <c r="AO19" s="619"/>
      <c r="AP19" s="563" t="e">
        <f>AP18/$C$6</f>
        <v>#N/A</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25">
      <c r="A20" s="620" t="s">
        <v>1187</v>
      </c>
      <c r="B20" s="621" t="s">
        <v>842</v>
      </c>
      <c r="C20" s="622"/>
      <c r="D20" s="589" t="e">
        <f>D6-C6</f>
        <v>#N/A</v>
      </c>
      <c r="E20" s="623" t="e">
        <f>E6-C6</f>
        <v>#VALUE!</v>
      </c>
      <c r="F20" s="87"/>
      <c r="G20" s="361" t="s">
        <v>1187</v>
      </c>
      <c r="H20" s="343" t="s">
        <v>842</v>
      </c>
      <c r="I20" s="390"/>
      <c r="J20" s="624" t="e">
        <f>J6-I6</f>
        <v>#N/A</v>
      </c>
      <c r="K20" s="625" t="e">
        <f>K6-I6</f>
        <v>#N/A</v>
      </c>
      <c r="L20" s="390"/>
      <c r="M20" s="624" t="e">
        <f>M6-L6</f>
        <v>#N/A</v>
      </c>
      <c r="N20" s="625" t="e">
        <f>N6-L6</f>
        <v>#N/A</v>
      </c>
      <c r="O20" s="390"/>
      <c r="P20" s="624" t="e">
        <f>P6-O6</f>
        <v>#N/A</v>
      </c>
      <c r="Q20" s="625" t="e">
        <f>Q6-O6</f>
        <v>#N/A</v>
      </c>
      <c r="R20" s="390"/>
      <c r="S20" s="624" t="e">
        <f>S6-R6</f>
        <v>#N/A</v>
      </c>
      <c r="T20" s="626" t="e">
        <f>T6-R6</f>
        <v>#N/A</v>
      </c>
      <c r="U20" s="390"/>
      <c r="V20" s="627" t="e">
        <f>V6-U6</f>
        <v>#N/A</v>
      </c>
      <c r="W20" s="625" t="e">
        <f>W6-U6</f>
        <v>#N/A</v>
      </c>
      <c r="X20" s="628"/>
      <c r="Y20" s="624" t="e">
        <f>Y6-X6</f>
        <v>#N/A</v>
      </c>
      <c r="Z20" s="625" t="e">
        <f>Z6-X6</f>
        <v>#N/A</v>
      </c>
      <c r="AA20" s="390"/>
      <c r="AB20" s="624" t="e">
        <f>AB6-AA6</f>
        <v>#N/A</v>
      </c>
      <c r="AC20" s="629" t="e">
        <f>AC6-AA6</f>
        <v>#N/A</v>
      </c>
      <c r="AD20" s="390"/>
      <c r="AE20" s="624" t="e">
        <f>AE6-AD6</f>
        <v>#N/A</v>
      </c>
      <c r="AF20" s="629" t="e">
        <f>AF6-AD6</f>
        <v>#N/A</v>
      </c>
      <c r="AG20" s="390"/>
      <c r="AH20" s="627" t="e">
        <f>AH6-AG6</f>
        <v>#N/A</v>
      </c>
      <c r="AI20" s="625" t="e">
        <f>AI6-AG6</f>
        <v>#N/A</v>
      </c>
      <c r="AJ20" s="390"/>
      <c r="AK20" s="627" t="e">
        <f>AK6-AJ6</f>
        <v>#N/A</v>
      </c>
      <c r="AL20" s="625" t="e">
        <f>AL6-AJ6</f>
        <v>#N/A</v>
      </c>
      <c r="AM20" s="391"/>
      <c r="AN20" s="624" t="e">
        <f>AN6-AM6</f>
        <v>#N/A</v>
      </c>
      <c r="AO20" s="625" t="e">
        <f>AO6-AM6</f>
        <v>#N/A</v>
      </c>
      <c r="AP20" s="390"/>
      <c r="AQ20" s="624" t="e">
        <f>AQ6-AP6</f>
        <v>#N/A</v>
      </c>
      <c r="AR20" s="625" t="e">
        <f>AR6-AP6</f>
        <v>#N/A</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25">
      <c r="A21" s="375" t="s">
        <v>874</v>
      </c>
      <c r="B21" s="376" t="s">
        <v>1180</v>
      </c>
      <c r="C21" s="395"/>
      <c r="D21" s="630" t="e">
        <f>D20*0.123/1000</f>
        <v>#N/A</v>
      </c>
      <c r="E21" s="630" t="e">
        <f>E20*0.123/1000</f>
        <v>#VALUE!</v>
      </c>
      <c r="F21" s="87"/>
      <c r="G21" s="556" t="s">
        <v>874</v>
      </c>
      <c r="H21" s="557" t="s">
        <v>1180</v>
      </c>
      <c r="I21" s="631"/>
      <c r="J21" s="330" t="e">
        <f>J20*0.123/1000</f>
        <v>#N/A</v>
      </c>
      <c r="K21" s="632" t="e">
        <f>K20*0.123/1000</f>
        <v>#N/A</v>
      </c>
      <c r="L21" s="631"/>
      <c r="M21" s="330" t="e">
        <f>M20*0.123/1000</f>
        <v>#N/A</v>
      </c>
      <c r="N21" s="632" t="e">
        <f>N20*0.123/1000</f>
        <v>#N/A</v>
      </c>
      <c r="O21" s="631"/>
      <c r="P21" s="330" t="e">
        <f>P20*0.123/1000</f>
        <v>#N/A</v>
      </c>
      <c r="Q21" s="632" t="e">
        <f>Q20*0.123/1000</f>
        <v>#N/A</v>
      </c>
      <c r="R21" s="631"/>
      <c r="S21" s="330" t="e">
        <f>S20*0.123/1000</f>
        <v>#N/A</v>
      </c>
      <c r="T21" s="633" t="e">
        <f>T20*0.123/1000</f>
        <v>#N/A</v>
      </c>
      <c r="U21" s="631"/>
      <c r="V21" s="330" t="e">
        <f>V20*0.123/1000</f>
        <v>#N/A</v>
      </c>
      <c r="W21" s="632" t="e">
        <f>W20*0.123/1000</f>
        <v>#N/A</v>
      </c>
      <c r="X21" s="634"/>
      <c r="Y21" s="330" t="e">
        <f>Y20*0.123/1000</f>
        <v>#N/A</v>
      </c>
      <c r="Z21" s="632" t="e">
        <f>Z20*0.123/1000</f>
        <v>#N/A</v>
      </c>
      <c r="AA21" s="631"/>
      <c r="AB21" s="330" t="e">
        <f>AB20*0.123/1000</f>
        <v>#N/A</v>
      </c>
      <c r="AC21" s="632" t="e">
        <f>AC20*0.123/1000</f>
        <v>#N/A</v>
      </c>
      <c r="AD21" s="631"/>
      <c r="AE21" s="330" t="e">
        <f>AE20*0.123/1000</f>
        <v>#N/A</v>
      </c>
      <c r="AF21" s="632" t="e">
        <f>AF20*0.123/1000</f>
        <v>#N/A</v>
      </c>
      <c r="AG21" s="631"/>
      <c r="AH21" s="330" t="e">
        <f>AH20*0.123/1000</f>
        <v>#N/A</v>
      </c>
      <c r="AI21" s="632" t="e">
        <f>AI20*0.123/1000</f>
        <v>#N/A</v>
      </c>
      <c r="AJ21" s="631"/>
      <c r="AK21" s="330" t="e">
        <f>AK20*0.123/1000</f>
        <v>#N/A</v>
      </c>
      <c r="AL21" s="632" t="e">
        <f>AL20*0.123/1000</f>
        <v>#N/A</v>
      </c>
      <c r="AM21" s="635"/>
      <c r="AN21" s="330" t="e">
        <f>AN20*0.123/1000</f>
        <v>#N/A</v>
      </c>
      <c r="AO21" s="632" t="e">
        <f>AO20*0.123/1000</f>
        <v>#N/A</v>
      </c>
      <c r="AP21" s="631"/>
      <c r="AQ21" s="330" t="e">
        <f>AQ20*0.123/1000</f>
        <v>#N/A</v>
      </c>
      <c r="AR21" s="636" t="e">
        <f>AR20*0.123/1000</f>
        <v>#N/A</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75" thickBot="1" x14ac:dyDescent="0.3">
      <c r="A22" s="402" t="s">
        <v>874</v>
      </c>
      <c r="B22" s="376" t="s">
        <v>1181</v>
      </c>
      <c r="C22" s="637"/>
      <c r="D22" s="638" t="e">
        <f>(D20/C6)*100</f>
        <v>#N/A</v>
      </c>
      <c r="E22" s="638" t="e">
        <f>(E20/C6)*100</f>
        <v>#VALUE!</v>
      </c>
      <c r="F22" s="87"/>
      <c r="G22" s="561" t="s">
        <v>874</v>
      </c>
      <c r="H22" s="562" t="s">
        <v>1181</v>
      </c>
      <c r="I22" s="639"/>
      <c r="J22" s="640" t="e">
        <f>(J20/I6)*100</f>
        <v>#N/A</v>
      </c>
      <c r="K22" s="641" t="e">
        <f>(K20/I6)*100</f>
        <v>#N/A</v>
      </c>
      <c r="L22" s="639"/>
      <c r="M22" s="640" t="e">
        <f>(M20/L6)*100</f>
        <v>#N/A</v>
      </c>
      <c r="N22" s="641" t="e">
        <f>(N20/L6)*100</f>
        <v>#N/A</v>
      </c>
      <c r="O22" s="639"/>
      <c r="P22" s="640" t="e">
        <f>(P20/O6)*100</f>
        <v>#N/A</v>
      </c>
      <c r="Q22" s="641" t="e">
        <f>(Q20/O6)*100</f>
        <v>#N/A</v>
      </c>
      <c r="R22" s="639"/>
      <c r="S22" s="640" t="e">
        <f>(S20/R6)*100</f>
        <v>#N/A</v>
      </c>
      <c r="T22" s="642" t="e">
        <f>(T20/R6)*100</f>
        <v>#N/A</v>
      </c>
      <c r="U22" s="637"/>
      <c r="V22" s="638" t="e">
        <f>(V20/U6)*100</f>
        <v>#N/A</v>
      </c>
      <c r="W22" s="643" t="e">
        <f>(W20/U6)*100</f>
        <v>#N/A</v>
      </c>
      <c r="X22" s="644"/>
      <c r="Y22" s="645" t="e">
        <f>(Y20/X6)*100</f>
        <v>#N/A</v>
      </c>
      <c r="Z22" s="646" t="e">
        <f>(Z20/X6)*100</f>
        <v>#N/A</v>
      </c>
      <c r="AA22" s="639"/>
      <c r="AB22" s="640" t="e">
        <f>(AB20/AA6)*100</f>
        <v>#N/A</v>
      </c>
      <c r="AC22" s="641" t="e">
        <f>(AC20/AA6)*100</f>
        <v>#N/A</v>
      </c>
      <c r="AD22" s="639"/>
      <c r="AE22" s="640" t="e">
        <f>(AE20/AD6)*100</f>
        <v>#N/A</v>
      </c>
      <c r="AF22" s="641" t="e">
        <f>(AF20/AD6)*100</f>
        <v>#N/A</v>
      </c>
      <c r="AG22" s="639"/>
      <c r="AH22" s="640" t="e">
        <f>(AH20/AG6)*100</f>
        <v>#N/A</v>
      </c>
      <c r="AI22" s="641" t="e">
        <f>(AI20/AG6)*100</f>
        <v>#N/A</v>
      </c>
      <c r="AJ22" s="639"/>
      <c r="AK22" s="640" t="e">
        <f>(AK20/AJ6)*100</f>
        <v>#N/A</v>
      </c>
      <c r="AL22" s="641" t="e">
        <f>(AL20/AJ6)*100</f>
        <v>#N/A</v>
      </c>
      <c r="AM22" s="647"/>
      <c r="AN22" s="645" t="e">
        <f>(AN20/AM6)*100</f>
        <v>#N/A</v>
      </c>
      <c r="AO22" s="646" t="e">
        <f>(AO20/AM6)*100</f>
        <v>#N/A</v>
      </c>
      <c r="AP22" s="639"/>
      <c r="AQ22" s="640" t="e">
        <f>(AQ20/AP6)*100</f>
        <v>#N/A</v>
      </c>
      <c r="AR22" s="641" t="e">
        <f>(AR20/AP6)*100</f>
        <v>#N/A</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25">
      <c r="A23" s="648" t="s">
        <v>1189</v>
      </c>
      <c r="B23" s="540" t="s">
        <v>1354</v>
      </c>
      <c r="C23" s="541" t="e">
        <f>C6/('Ввод исходных данных'!$G$44+'Ввод исходных данных'!$D$22)</f>
        <v>#N/A</v>
      </c>
      <c r="D23" s="649" t="e">
        <f>D6/('Ввод исходных данных'!$G$44+'Ввод исходных данных'!$D$22)</f>
        <v>#DIV/0!</v>
      </c>
      <c r="E23" s="573" t="e">
        <f>E6/('Ввод исходных данных'!$G$44+'Ввод исходных данных'!$D$22)</f>
        <v>#VALUE!</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75" thickBot="1" x14ac:dyDescent="0.3">
      <c r="A24" s="652" t="s">
        <v>874</v>
      </c>
      <c r="B24" s="403" t="s">
        <v>1191</v>
      </c>
      <c r="C24" s="653" t="e">
        <f>C7*1000/('Ввод исходных данных'!$G$44+'Ввод исходных данных'!$G$22)</f>
        <v>#N/A</v>
      </c>
      <c r="D24" s="654" t="e">
        <f>0.123*D23</f>
        <v>#DIV/0!</v>
      </c>
      <c r="E24" s="655" t="e">
        <f>0.123*E23</f>
        <v>#VALUE!</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25">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25">
      <c r="A27" s="87"/>
      <c r="B27" s="334" t="e">
        <f>C12</f>
        <v>#N/A</v>
      </c>
      <c r="C27" s="334" t="e">
        <f>C15</f>
        <v>#N/A</v>
      </c>
      <c r="D27" s="334" t="e">
        <f>C18</f>
        <v>#VALUE!</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25">
      <c r="A28" s="87"/>
      <c r="B28" s="334">
        <f>D12</f>
        <v>0</v>
      </c>
      <c r="C28" s="334">
        <f>D15</f>
        <v>0</v>
      </c>
      <c r="D28" s="334">
        <f>D18</f>
        <v>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25">
      <c r="A29" s="87"/>
      <c r="B29" s="334" t="e">
        <f>E12</f>
        <v>#VALUE!</v>
      </c>
      <c r="C29" s="334">
        <f>E15</f>
        <v>0</v>
      </c>
      <c r="D29" s="334">
        <f>E18</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25">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
      <c r="A32" s="1793" t="s">
        <v>1192</v>
      </c>
      <c r="B32" s="1793"/>
      <c r="C32" s="1793"/>
      <c r="D32" s="1793"/>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25">
      <c r="A33" s="1763" t="s">
        <v>834</v>
      </c>
      <c r="B33" s="1773" t="s">
        <v>1174</v>
      </c>
      <c r="C33" s="1771" t="s">
        <v>1175</v>
      </c>
      <c r="D33" s="1769" t="s">
        <v>1176</v>
      </c>
      <c r="E33" s="1767" t="s">
        <v>1177</v>
      </c>
      <c r="F33" s="87"/>
      <c r="G33" s="1765" t="s">
        <v>834</v>
      </c>
      <c r="H33" s="1759" t="s">
        <v>1174</v>
      </c>
      <c r="I33" s="1800" t="s">
        <v>488</v>
      </c>
      <c r="J33" s="1801"/>
      <c r="K33" s="1802"/>
      <c r="L33" s="1800" t="s">
        <v>489</v>
      </c>
      <c r="M33" s="1801"/>
      <c r="N33" s="1802"/>
      <c r="O33" s="1800" t="s">
        <v>490</v>
      </c>
      <c r="P33" s="1801"/>
      <c r="Q33" s="1802"/>
      <c r="R33" s="1800" t="s">
        <v>491</v>
      </c>
      <c r="S33" s="1801"/>
      <c r="T33" s="1802"/>
      <c r="U33" s="1800" t="s">
        <v>805</v>
      </c>
      <c r="V33" s="1801"/>
      <c r="W33" s="1802"/>
      <c r="X33" s="1800" t="s">
        <v>806</v>
      </c>
      <c r="Y33" s="1801"/>
      <c r="Z33" s="1802"/>
      <c r="AA33" s="1800" t="s">
        <v>807</v>
      </c>
      <c r="AB33" s="1801"/>
      <c r="AC33" s="1802"/>
      <c r="AD33" s="1800" t="s">
        <v>808</v>
      </c>
      <c r="AE33" s="1801"/>
      <c r="AF33" s="1802"/>
      <c r="AG33" s="1800" t="s">
        <v>809</v>
      </c>
      <c r="AH33" s="1801"/>
      <c r="AI33" s="1802"/>
      <c r="AJ33" s="1800" t="s">
        <v>482</v>
      </c>
      <c r="AK33" s="1801"/>
      <c r="AL33" s="1802"/>
      <c r="AM33" s="1800" t="s">
        <v>486</v>
      </c>
      <c r="AN33" s="1801"/>
      <c r="AO33" s="1802"/>
      <c r="AP33" s="1800" t="s">
        <v>487</v>
      </c>
      <c r="AQ33" s="1801"/>
      <c r="AR33" s="1802"/>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5" customHeight="1" thickBot="1" x14ac:dyDescent="0.3">
      <c r="A34" s="1764"/>
      <c r="B34" s="1774"/>
      <c r="C34" s="1772"/>
      <c r="D34" s="1770"/>
      <c r="E34" s="1768"/>
      <c r="F34" s="87"/>
      <c r="G34" s="1766"/>
      <c r="H34" s="1760"/>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50000000000003" customHeight="1" thickBot="1" x14ac:dyDescent="0.3">
      <c r="A35" s="666" t="s">
        <v>1194</v>
      </c>
      <c r="B35" s="667" t="s">
        <v>842</v>
      </c>
      <c r="C35" s="341" t="e">
        <f>C38+C62+C65+C68-C71</f>
        <v>#N/A</v>
      </c>
      <c r="D35" s="340">
        <f>D36*1163</f>
        <v>0</v>
      </c>
      <c r="E35" s="668" t="e">
        <f>D35*'Ввод исходных данных'!$H$263</f>
        <v>#VALUE!</v>
      </c>
      <c r="F35" s="669"/>
      <c r="G35" s="544" t="s">
        <v>1192</v>
      </c>
      <c r="H35" s="545" t="s">
        <v>842</v>
      </c>
      <c r="I35" s="344" t="e">
        <f>I38+I62+I65+I68-I71</f>
        <v>#N/A</v>
      </c>
      <c r="J35" s="546" t="e">
        <f>J36*1163</f>
        <v>#N/A</v>
      </c>
      <c r="K35" s="670" t="e">
        <f>K36*1163</f>
        <v>#N/A</v>
      </c>
      <c r="L35" s="345" t="e">
        <f>L38+L62+L65+L68-L71</f>
        <v>#N/A</v>
      </c>
      <c r="M35" s="546" t="e">
        <f>M36*1163</f>
        <v>#N/A</v>
      </c>
      <c r="N35" s="670" t="e">
        <f>N36*1163</f>
        <v>#N/A</v>
      </c>
      <c r="O35" s="344" t="e">
        <f>O38+O62+O65+O68-O71</f>
        <v>#N/A</v>
      </c>
      <c r="P35" s="546" t="e">
        <f>P36*1163</f>
        <v>#N/A</v>
      </c>
      <c r="Q35" s="671" t="e">
        <f>Q36*1163</f>
        <v>#N/A</v>
      </c>
      <c r="R35" s="345" t="e">
        <f>R38+R62+R65+R68-R71</f>
        <v>#N/A</v>
      </c>
      <c r="S35" s="670" t="e">
        <f>S36*1163</f>
        <v>#N/A</v>
      </c>
      <c r="T35" s="670" t="e">
        <f>T36*1163</f>
        <v>#N/A</v>
      </c>
      <c r="U35" s="344" t="e">
        <f>U38+U62+U65+U68-U71</f>
        <v>#N/A</v>
      </c>
      <c r="V35" s="546" t="e">
        <f>V36*1163</f>
        <v>#N/A</v>
      </c>
      <c r="W35" s="672" t="e">
        <f>W36*1163</f>
        <v>#N/A</v>
      </c>
      <c r="X35" s="344" t="e">
        <f>X38+X62+X65+X68-X71</f>
        <v>#N/A</v>
      </c>
      <c r="Y35" s="546" t="e">
        <f>Y36*1163</f>
        <v>#N/A</v>
      </c>
      <c r="Z35" s="673" t="e">
        <f>Z36*1163</f>
        <v>#N/A</v>
      </c>
      <c r="AA35" s="344" t="e">
        <f>AA38+AA62+AA65+AA68-AA71</f>
        <v>#N/A</v>
      </c>
      <c r="AB35" s="546" t="e">
        <f>AB36*1163</f>
        <v>#N/A</v>
      </c>
      <c r="AC35" s="673" t="e">
        <f>AC36*1163</f>
        <v>#N/A</v>
      </c>
      <c r="AD35" s="344" t="e">
        <f>AD38+AD62+AD65+AD68-AD71</f>
        <v>#N/A</v>
      </c>
      <c r="AE35" s="546" t="e">
        <f>AE36*1163</f>
        <v>#N/A</v>
      </c>
      <c r="AF35" s="673" t="e">
        <f>AF36*1163</f>
        <v>#N/A</v>
      </c>
      <c r="AG35" s="344" t="e">
        <f>AG38+AG62+AG65+AG68-AG71</f>
        <v>#N/A</v>
      </c>
      <c r="AH35" s="546" t="e">
        <f>AH36*1163</f>
        <v>#N/A</v>
      </c>
      <c r="AI35" s="673" t="e">
        <f>AI36*1163</f>
        <v>#N/A</v>
      </c>
      <c r="AJ35" s="344" t="e">
        <f>AJ38+AJ62+AJ65+AJ68-AJ71</f>
        <v>#N/A</v>
      </c>
      <c r="AK35" s="546" t="e">
        <f>AK36*1163</f>
        <v>#N/A</v>
      </c>
      <c r="AL35" s="671" t="e">
        <f>AL36*1163</f>
        <v>#N/A</v>
      </c>
      <c r="AM35" s="344" t="e">
        <f>AM38+AM62+AM65+AM68-AM71</f>
        <v>#N/A</v>
      </c>
      <c r="AN35" s="546" t="e">
        <f>AN36*1163</f>
        <v>#N/A</v>
      </c>
      <c r="AO35" s="671" t="e">
        <f>AO36*1163</f>
        <v>#N/A</v>
      </c>
      <c r="AP35" s="344" t="e">
        <f>AP38+AP62+AP65+AP68-AP71</f>
        <v>#N/A</v>
      </c>
      <c r="AQ35" s="546" t="e">
        <f>AQ36*1163</f>
        <v>#N/A</v>
      </c>
      <c r="AR35" s="673" t="e">
        <f>AR36*1163</f>
        <v>#N/A</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5" customHeight="1" x14ac:dyDescent="0.25">
      <c r="A36" s="375" t="s">
        <v>874</v>
      </c>
      <c r="B36" s="376" t="s">
        <v>1184</v>
      </c>
      <c r="C36" s="675" t="e">
        <f>0.86*C35/1000</f>
        <v>#N/A</v>
      </c>
      <c r="D36" s="576">
        <f>'Ввод исходных данных'!J197</f>
        <v>0</v>
      </c>
      <c r="E36" s="676" t="e">
        <f>0.86*E35/1000</f>
        <v>#VALUE!</v>
      </c>
      <c r="F36" s="677"/>
      <c r="G36" s="396" t="s">
        <v>874</v>
      </c>
      <c r="H36" s="397" t="s">
        <v>1184</v>
      </c>
      <c r="I36" s="678" t="e">
        <f>0.86*I35/1000</f>
        <v>#N/A</v>
      </c>
      <c r="J36" s="679" t="e">
        <f>'Ввод исходных данных'!$J$185</f>
        <v>#N/A</v>
      </c>
      <c r="K36" s="668" t="e">
        <f>(J36)*'Ввод исходных данных'!$H$251</f>
        <v>#N/A</v>
      </c>
      <c r="L36" s="678" t="e">
        <f>0.86*L35/1000</f>
        <v>#N/A</v>
      </c>
      <c r="M36" s="111" t="e">
        <f>'Ввод исходных данных'!$J$186</f>
        <v>#N/A</v>
      </c>
      <c r="N36" s="668" t="e">
        <f>(M36)*'Ввод исходных данных'!$H$252</f>
        <v>#N/A</v>
      </c>
      <c r="O36" s="678" t="e">
        <f>0.86*O35/1000</f>
        <v>#N/A</v>
      </c>
      <c r="P36" s="111" t="e">
        <f>'Ввод исходных данных'!$J$187</f>
        <v>#N/A</v>
      </c>
      <c r="Q36" s="668" t="e">
        <f>(P36)*'Ввод исходных данных'!$H$253</f>
        <v>#N/A</v>
      </c>
      <c r="R36" s="678" t="e">
        <f>0.86*R35/1000</f>
        <v>#N/A</v>
      </c>
      <c r="S36" s="111" t="e">
        <f>'Ввод исходных данных'!$J$188</f>
        <v>#N/A</v>
      </c>
      <c r="T36" s="668" t="e">
        <f>(S36)*'Ввод исходных данных'!$H$254</f>
        <v>#N/A</v>
      </c>
      <c r="U36" s="401"/>
      <c r="V36" s="111" t="e">
        <f>'Ввод исходных данных'!$J$189</f>
        <v>#N/A</v>
      </c>
      <c r="W36" s="668" t="e">
        <f>(V36)*'Ввод исходных данных'!$H$255</f>
        <v>#N/A</v>
      </c>
      <c r="X36" s="399"/>
      <c r="Y36" s="111" t="e">
        <f>'Ввод исходных данных'!$J$190</f>
        <v>#N/A</v>
      </c>
      <c r="Z36" s="668" t="e">
        <f>(Y36)*'Ввод исходных данных'!$H$256</f>
        <v>#N/A</v>
      </c>
      <c r="AA36" s="401"/>
      <c r="AB36" s="111" t="e">
        <f>'Ввод исходных данных'!$J$191</f>
        <v>#N/A</v>
      </c>
      <c r="AC36" s="668" t="e">
        <f>(AB36)*'Ввод исходных данных'!$H$257</f>
        <v>#N/A</v>
      </c>
      <c r="AD36" s="399"/>
      <c r="AE36" s="111" t="e">
        <f>'Ввод исходных данных'!$J$192</f>
        <v>#N/A</v>
      </c>
      <c r="AF36" s="668" t="e">
        <f>(AE36)*'Ввод исходных данных'!$H$258</f>
        <v>#N/A</v>
      </c>
      <c r="AG36" s="401"/>
      <c r="AH36" s="111" t="e">
        <f>'Ввод исходных данных'!$J$193</f>
        <v>#N/A</v>
      </c>
      <c r="AI36" s="668" t="e">
        <f>(AH36)*'Ввод исходных данных'!$H$259</f>
        <v>#N/A</v>
      </c>
      <c r="AJ36" s="678" t="e">
        <f>0.86*AJ35/1000</f>
        <v>#N/A</v>
      </c>
      <c r="AK36" s="680" t="e">
        <f>'Ввод исходных данных'!$J$194</f>
        <v>#N/A</v>
      </c>
      <c r="AL36" s="668" t="e">
        <f>(AK36)*'Ввод исходных данных'!$H$260</f>
        <v>#N/A</v>
      </c>
      <c r="AM36" s="678" t="e">
        <f>0.86*AM35/1000</f>
        <v>#N/A</v>
      </c>
      <c r="AN36" s="680" t="e">
        <f>'Ввод исходных данных'!$J$195</f>
        <v>#N/A</v>
      </c>
      <c r="AO36" s="668" t="e">
        <f>(AN36)*'Ввод исходных данных'!$H$261</f>
        <v>#N/A</v>
      </c>
      <c r="AP36" s="678" t="e">
        <f>0.86*AP35/1000</f>
        <v>#N/A</v>
      </c>
      <c r="AQ36" s="680" t="e">
        <f>'Ввод исходных данных'!$J$196</f>
        <v>#N/A</v>
      </c>
      <c r="AR36" s="668" t="e">
        <f>(AQ36)*'Ввод исходных данных'!$H$262</f>
        <v>#N/A</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75" thickBot="1" x14ac:dyDescent="0.3">
      <c r="A37" s="375" t="s">
        <v>874</v>
      </c>
      <c r="B37" s="376" t="s">
        <v>1181</v>
      </c>
      <c r="C37" s="395"/>
      <c r="D37" s="681" t="e">
        <f>D39+D63+D66+D69-D72</f>
        <v>#N/A</v>
      </c>
      <c r="E37" s="681" t="e">
        <f>E39+E63+E66+E69-E72</f>
        <v>#N/A</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50000000000003" customHeight="1" x14ac:dyDescent="0.25">
      <c r="A38" s="688" t="s">
        <v>1195</v>
      </c>
      <c r="B38" s="667" t="s">
        <v>842</v>
      </c>
      <c r="C38" s="347" t="e">
        <f>C41+C44+C47+C50+C53+C56+C59</f>
        <v>#N/A</v>
      </c>
      <c r="D38" s="689" t="e">
        <f>$C38*(($D$35+$D$71)/($C$35+$C$71))</f>
        <v>#N/A</v>
      </c>
      <c r="E38" s="689" t="e">
        <f>$C38*(($E$35+$E$71)/($C$35+$C$71))</f>
        <v>#N/A</v>
      </c>
      <c r="F38" s="690"/>
      <c r="G38" s="544" t="s">
        <v>1196</v>
      </c>
      <c r="H38" s="691" t="s">
        <v>842</v>
      </c>
      <c r="I38" s="347" t="e">
        <f>I41+I44+I47+I50+I53+I56+I59</f>
        <v>#N/A</v>
      </c>
      <c r="J38" s="689" t="e">
        <f>I38*((J$35+J$71)/(I$35+I$71))</f>
        <v>#N/A</v>
      </c>
      <c r="K38" s="689">
        <f>IFERROR(I38*((K$35+K$71)/(I$35+I$71)),0)</f>
        <v>0</v>
      </c>
      <c r="L38" s="347" t="e">
        <f>L41+L44+L47+L50+L53+L56+L59</f>
        <v>#N/A</v>
      </c>
      <c r="M38" s="689" t="e">
        <f>L38*((M$35+M$71)/(L$35+L$71))</f>
        <v>#N/A</v>
      </c>
      <c r="N38" s="689">
        <f>IFERROR(L38*((N$35+N$71)/(L$35+L$71)),0)</f>
        <v>0</v>
      </c>
      <c r="O38" s="347" t="e">
        <f>O41+O44+O47+O50+O53+O56+O59</f>
        <v>#N/A</v>
      </c>
      <c r="P38" s="689" t="e">
        <f>O38*((P$35+P$71)/(O$35+O$71))</f>
        <v>#N/A</v>
      </c>
      <c r="Q38" s="689">
        <f>IFERROR(O38*((Q$35+Q$71)/(O$35+O$71)),0)</f>
        <v>0</v>
      </c>
      <c r="R38" s="347" t="e">
        <f>R41+R44+R47+R50+R53+R56+R59</f>
        <v>#N/A</v>
      </c>
      <c r="S38" s="689" t="e">
        <f>R38*((S$35+S$71)/(R$35+R$71))</f>
        <v>#N/A</v>
      </c>
      <c r="T38" s="689">
        <f>IFERROR(R38*((T$35+T$71)/(R$35+R$71)),0)</f>
        <v>0</v>
      </c>
      <c r="U38" s="347" t="e">
        <f>U41+U44+U47+U50+U53+U56+U59</f>
        <v>#N/A</v>
      </c>
      <c r="V38" s="689">
        <f>IFERROR(U38*((V$35+V$71)/(U$35+U$71)),0)</f>
        <v>0</v>
      </c>
      <c r="W38" s="689">
        <f>IFERROR(U38*((W$35+W$71)/(U$35+U$71)),0)</f>
        <v>0</v>
      </c>
      <c r="X38" s="347" t="e">
        <f>X41+X44+X47+X50+X53+X56+X59</f>
        <v>#N/A</v>
      </c>
      <c r="Y38" s="689">
        <f>IFERROR(X38*((Y$35+Y$71)/(X$35+X$71)),0)</f>
        <v>0</v>
      </c>
      <c r="Z38" s="689">
        <f>IFERROR(X38*((Z$35+Z$71)/(X$35+X$71)),0)</f>
        <v>0</v>
      </c>
      <c r="AA38" s="347" t="e">
        <f>AA41+AA44+AA47+AA50+AA53+AA56+AA59</f>
        <v>#N/A</v>
      </c>
      <c r="AB38" s="689">
        <f>IFERROR(AA38*((AB$35+AB$71)/(AA$35+AA$71)),0)</f>
        <v>0</v>
      </c>
      <c r="AC38" s="689">
        <f>IFERROR(AA38*((AC$35+AC$71)/(AA$35+AA$71)),0)</f>
        <v>0</v>
      </c>
      <c r="AD38" s="347" t="e">
        <f>AD41+AD44+AD47+AD50+AD53+AD56+AD59</f>
        <v>#N/A</v>
      </c>
      <c r="AE38" s="689">
        <f>IFERROR(AD38*((AE$35+AE$71)/(AD$35+AD$71)),0)</f>
        <v>0</v>
      </c>
      <c r="AF38" s="689">
        <f>IFERROR(AD38*((AF$35+AF$71)/(AD$35+AD$71)),0)</f>
        <v>0</v>
      </c>
      <c r="AG38" s="347" t="e">
        <f>AG41+AG44+AG47+AG50+AG53+AG56+AG59</f>
        <v>#N/A</v>
      </c>
      <c r="AH38" s="689">
        <f>IFERROR(AG38*((AH$35+AH$71)/(AG$35+AG$71)),0)</f>
        <v>0</v>
      </c>
      <c r="AI38" s="689">
        <f>IFERROR(AG38*((AI$35+AI$71)/(AG$35+AG$71)),0)</f>
        <v>0</v>
      </c>
      <c r="AJ38" s="347" t="e">
        <f>AJ41+AJ44+AJ47+AJ50+AJ53+AJ56+AJ59</f>
        <v>#N/A</v>
      </c>
      <c r="AK38" s="689">
        <f>IFERROR(AJ38*((AK$35+AK$71)/(AJ$35+AJ$71)),0)</f>
        <v>0</v>
      </c>
      <c r="AL38" s="689">
        <f>IFERROR(AJ38*((AL$35+AL$71)/(AJ$35+AJ$71)),0)</f>
        <v>0</v>
      </c>
      <c r="AM38" s="347" t="e">
        <f>AM41+AM44+AM47+AM50+AM53+AM56+AM59</f>
        <v>#N/A</v>
      </c>
      <c r="AN38" s="689">
        <f>IFERROR(AM38*((AN$35+AN$71)/(AM$35+AM$71)),0)</f>
        <v>0</v>
      </c>
      <c r="AO38" s="689">
        <f>IFERROR(AM38*((AO$35+AO$71)/(AM$35+AM$71)),0)</f>
        <v>0</v>
      </c>
      <c r="AP38" s="347" t="e">
        <f>AP41+AP44+AP47+AP50+AP53+AP56+AP59</f>
        <v>#N/A</v>
      </c>
      <c r="AQ38" s="689">
        <f>IFERROR(AP38*((AQ$35+AQ$71)/(AP$35+AP$71)),0)</f>
        <v>0</v>
      </c>
      <c r="AR38" s="689">
        <f>IFERROR(AP38*((AR$35+AR$71)/(AP$35+AP$71)),0)</f>
        <v>0</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25">
      <c r="A39" s="375" t="s">
        <v>874</v>
      </c>
      <c r="B39" s="376" t="s">
        <v>1184</v>
      </c>
      <c r="C39" s="575" t="e">
        <f>0.86*C38/1000</f>
        <v>#N/A</v>
      </c>
      <c r="D39" s="394" t="e">
        <f>0.86*D38/1000</f>
        <v>#N/A</v>
      </c>
      <c r="E39" s="693" t="e">
        <f>0.86*E38/1000</f>
        <v>#N/A</v>
      </c>
      <c r="F39" s="694"/>
      <c r="G39" s="396" t="s">
        <v>874</v>
      </c>
      <c r="H39" s="695" t="s">
        <v>1184</v>
      </c>
      <c r="I39" s="696" t="e">
        <f t="shared" ref="I39:W39" si="23">0.86*I38/1000</f>
        <v>#N/A</v>
      </c>
      <c r="J39" s="697" t="e">
        <f t="shared" si="23"/>
        <v>#N/A</v>
      </c>
      <c r="K39" s="698">
        <f t="shared" si="23"/>
        <v>0</v>
      </c>
      <c r="L39" s="699" t="e">
        <f t="shared" si="23"/>
        <v>#N/A</v>
      </c>
      <c r="M39" s="700" t="e">
        <f t="shared" si="23"/>
        <v>#N/A</v>
      </c>
      <c r="N39" s="698">
        <f t="shared" si="23"/>
        <v>0</v>
      </c>
      <c r="O39" s="701" t="e">
        <f t="shared" si="23"/>
        <v>#N/A</v>
      </c>
      <c r="P39" s="698" t="e">
        <f t="shared" si="23"/>
        <v>#N/A</v>
      </c>
      <c r="Q39" s="698">
        <f t="shared" si="23"/>
        <v>0</v>
      </c>
      <c r="R39" s="702" t="e">
        <f t="shared" si="23"/>
        <v>#N/A</v>
      </c>
      <c r="S39" s="697" t="e">
        <f t="shared" si="23"/>
        <v>#N/A</v>
      </c>
      <c r="T39" s="703">
        <f t="shared" si="23"/>
        <v>0</v>
      </c>
      <c r="U39" s="704" t="e">
        <f t="shared" si="23"/>
        <v>#N/A</v>
      </c>
      <c r="V39" s="697">
        <f t="shared" si="23"/>
        <v>0</v>
      </c>
      <c r="W39" s="703">
        <f t="shared" si="23"/>
        <v>0</v>
      </c>
      <c r="X39" s="704" t="e">
        <f>0.86*X38/1000</f>
        <v>#N/A</v>
      </c>
      <c r="Y39" s="697">
        <f t="shared" ref="Y39:Z39" si="24">0.86*Y38/1000</f>
        <v>0</v>
      </c>
      <c r="Z39" s="703">
        <f t="shared" si="24"/>
        <v>0</v>
      </c>
      <c r="AA39" s="387" t="e">
        <f>0.86*AA38/1000</f>
        <v>#N/A</v>
      </c>
      <c r="AB39" s="697">
        <f t="shared" ref="AB39:AC39" si="25">0.86*AB38/1000</f>
        <v>0</v>
      </c>
      <c r="AC39" s="703">
        <f t="shared" si="25"/>
        <v>0</v>
      </c>
      <c r="AD39" s="387" t="e">
        <f>0.86*AD38/1000</f>
        <v>#N/A</v>
      </c>
      <c r="AE39" s="697">
        <f t="shared" ref="AE39:AF39" si="26">0.86*AE38/1000</f>
        <v>0</v>
      </c>
      <c r="AF39" s="703">
        <f t="shared" si="26"/>
        <v>0</v>
      </c>
      <c r="AG39" s="387" t="e">
        <f>0.86*AG38/1000</f>
        <v>#N/A</v>
      </c>
      <c r="AH39" s="697">
        <f t="shared" ref="AH39" si="27">0.86*AH38/1000</f>
        <v>0</v>
      </c>
      <c r="AI39" s="703">
        <f>0.86*AI38/1000</f>
        <v>0</v>
      </c>
      <c r="AJ39" s="699" t="e">
        <f>0.86*AJ38/1000</f>
        <v>#N/A</v>
      </c>
      <c r="AK39" s="697">
        <f t="shared" ref="AK39:AN39" si="28">0.86*AK38/1000</f>
        <v>0</v>
      </c>
      <c r="AL39" s="703">
        <f t="shared" si="28"/>
        <v>0</v>
      </c>
      <c r="AM39" s="705" t="e">
        <f>0.86*AM38/1000</f>
        <v>#N/A</v>
      </c>
      <c r="AN39" s="697">
        <f t="shared" si="28"/>
        <v>0</v>
      </c>
      <c r="AO39" s="703">
        <f t="shared" ref="AO39" si="29">0.86*AO38/1000</f>
        <v>0</v>
      </c>
      <c r="AP39" s="699" t="e">
        <f>0.86*AP38/1000</f>
        <v>#N/A</v>
      </c>
      <c r="AQ39" s="697">
        <f t="shared" ref="AQ39:AR39" si="30">0.86*AQ38/1000</f>
        <v>0</v>
      </c>
      <c r="AR39" s="703">
        <f t="shared" si="30"/>
        <v>0</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75" thickBot="1" x14ac:dyDescent="0.3">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25">
      <c r="A41" s="349" t="s">
        <v>1197</v>
      </c>
      <c r="B41" s="339" t="s">
        <v>842</v>
      </c>
      <c r="C41" s="350" t="e">
        <f>IF(C134=0,0,B134/C134*D134)*0.024*$D$147</f>
        <v>#N/A</v>
      </c>
      <c r="D41" s="723" t="e">
        <f>C41*($D$38/$C$38)</f>
        <v>#N/A</v>
      </c>
      <c r="E41" s="724" t="e">
        <f>C41*($E$38/$C$38)</f>
        <v>#N/A</v>
      </c>
      <c r="F41" s="87"/>
      <c r="G41" s="351" t="s">
        <v>1197</v>
      </c>
      <c r="H41" s="343" t="s">
        <v>842</v>
      </c>
      <c r="I41" s="352" t="e">
        <f>IF($C134=0,0,$B134/$C134*$D134)*0.024*G$147</f>
        <v>#N/A</v>
      </c>
      <c r="J41" s="627" t="e">
        <f>I41*($J$38/$I$38)</f>
        <v>#N/A</v>
      </c>
      <c r="K41" s="725" t="e">
        <f>I41*($K$38/$I$38)</f>
        <v>#N/A</v>
      </c>
      <c r="L41" s="352" t="e">
        <f>IF($C134=0,0,$B134/$C134*$D134)*0.024*H$147</f>
        <v>#N/A</v>
      </c>
      <c r="M41" s="726" t="e">
        <f>L41*($M$38/$L$38)</f>
        <v>#N/A</v>
      </c>
      <c r="N41" s="727" t="e">
        <f>L41*($N$38/$L$38)</f>
        <v>#N/A</v>
      </c>
      <c r="O41" s="352" t="e">
        <f>IF($C134=0,0,$B134/$C134*$D134)*0.024*I$147</f>
        <v>#N/A</v>
      </c>
      <c r="P41" s="728" t="e">
        <f>O41*($P$38/$O$38)</f>
        <v>#N/A</v>
      </c>
      <c r="Q41" s="729" t="e">
        <f>O41*($Q$38/$O$38)</f>
        <v>#N/A</v>
      </c>
      <c r="R41" s="352" t="e">
        <f>IF($C134=0,0,$B134/$C134*$D134)*0.024*J$147</f>
        <v>#N/A</v>
      </c>
      <c r="S41" s="728" t="e">
        <f>R41*($S$38/$R$38)</f>
        <v>#N/A</v>
      </c>
      <c r="T41" s="729" t="e">
        <f>R41*($T$38/$R$38)</f>
        <v>#N/A</v>
      </c>
      <c r="U41" s="352" t="e">
        <f>IF($C134=0,0,$B134/$C134*$D134)*0.024*K$147</f>
        <v>#N/A</v>
      </c>
      <c r="V41" s="728">
        <f>IFERROR(U41*($V$38/$U$38),0)</f>
        <v>0</v>
      </c>
      <c r="W41" s="729">
        <f>IFERROR(U41*($W$38/$U$38),0)</f>
        <v>0</v>
      </c>
      <c r="X41" s="352" t="e">
        <f>IF($C134=0,0,$B134/$C134*$D134)*0.024*L$147</f>
        <v>#N/A</v>
      </c>
      <c r="Y41" s="728">
        <f>IFERROR(X41*($Y$38/$X$38),0)</f>
        <v>0</v>
      </c>
      <c r="Z41" s="729">
        <f>IFERROR(X41*($Z$38/$X$38),0)</f>
        <v>0</v>
      </c>
      <c r="AA41" s="352" t="e">
        <f>IF($C134=0,0,$B134/$C134*$D134)*0.024*M$147</f>
        <v>#N/A</v>
      </c>
      <c r="AB41" s="728">
        <f>IFERROR(AA41*($AB$38/$AA$38),0)</f>
        <v>0</v>
      </c>
      <c r="AC41" s="729">
        <f>IFERROR(AA41*($AC$38/$AA$38),0)</f>
        <v>0</v>
      </c>
      <c r="AD41" s="352" t="e">
        <f>IF($C134=0,0,$B134/$C134*$D134)*0.024*N$147</f>
        <v>#N/A</v>
      </c>
      <c r="AE41" s="728">
        <f>IFERROR(AD41*($AE$38/$AD$38),0)</f>
        <v>0</v>
      </c>
      <c r="AF41" s="729">
        <f>IFERROR(AD41*($AF$35/$AD$35),0)</f>
        <v>0</v>
      </c>
      <c r="AG41" s="352" t="e">
        <f>IF($C134=0,0,$B134/$C134*$D134)*0.024*O$147</f>
        <v>#N/A</v>
      </c>
      <c r="AH41" s="728">
        <f>IFERROR(AG41*($AH$38/$AG$38),0)</f>
        <v>0</v>
      </c>
      <c r="AI41" s="729">
        <f>IFERROR(AG41*($AI$35/$AG$35),0)</f>
        <v>0</v>
      </c>
      <c r="AJ41" s="352" t="e">
        <f>IF($C134=0,0,$B134/$C134*$D134)*0.024*P$147</f>
        <v>#N/A</v>
      </c>
      <c r="AK41" s="728" t="e">
        <f>AJ41*($AK$38/$AJ$38)</f>
        <v>#N/A</v>
      </c>
      <c r="AL41" s="729">
        <f>IFERROR(AJ41*($AL$38/$AJ$38),0)</f>
        <v>0</v>
      </c>
      <c r="AM41" s="352" t="e">
        <f>IF($C134=0,0,$B134/$C134*$D134)*0.024*Q$147</f>
        <v>#N/A</v>
      </c>
      <c r="AN41" s="728" t="e">
        <f>AM41*($AN$38/$AM$38)</f>
        <v>#N/A</v>
      </c>
      <c r="AO41" s="729" t="e">
        <f>AM41*($AO$38/$AM$38)</f>
        <v>#N/A</v>
      </c>
      <c r="AP41" s="352" t="e">
        <f>IF($C134=0,0,$B134/$C134*$D134)*0.024*R$147</f>
        <v>#N/A</v>
      </c>
      <c r="AQ41" s="728" t="e">
        <f>AP41*($AQ$38/$AP$38)</f>
        <v>#N/A</v>
      </c>
      <c r="AR41" s="729" t="e">
        <f>AP41*($AR$38/$AP$38)</f>
        <v>#N/A</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25">
      <c r="A42" s="375" t="s">
        <v>874</v>
      </c>
      <c r="B42" s="376" t="s">
        <v>1184</v>
      </c>
      <c r="C42" s="575" t="e">
        <f>0.86*C41/1000</f>
        <v>#N/A</v>
      </c>
      <c r="D42" s="394" t="e">
        <f>0.86*D41/1000</f>
        <v>#N/A</v>
      </c>
      <c r="E42" s="693" t="e">
        <f>0.86*E41/1000</f>
        <v>#N/A</v>
      </c>
      <c r="F42" s="87"/>
      <c r="G42" s="396" t="s">
        <v>874</v>
      </c>
      <c r="H42" s="397" t="s">
        <v>1184</v>
      </c>
      <c r="I42" s="705" t="e">
        <f t="shared" ref="I42:W42" si="31">0.86*I41/1000</f>
        <v>#N/A</v>
      </c>
      <c r="J42" s="697" t="e">
        <f t="shared" si="31"/>
        <v>#N/A</v>
      </c>
      <c r="K42" s="730" t="e">
        <f t="shared" si="31"/>
        <v>#N/A</v>
      </c>
      <c r="L42" s="705" t="e">
        <f t="shared" ref="L42" si="32">0.86*L41/1000</f>
        <v>#N/A</v>
      </c>
      <c r="M42" s="700" t="e">
        <f t="shared" si="31"/>
        <v>#N/A</v>
      </c>
      <c r="N42" s="700" t="e">
        <f t="shared" si="31"/>
        <v>#N/A</v>
      </c>
      <c r="O42" s="699" t="e">
        <f t="shared" si="31"/>
        <v>#N/A</v>
      </c>
      <c r="P42" s="731" t="e">
        <f t="shared" si="31"/>
        <v>#N/A</v>
      </c>
      <c r="Q42" s="731" t="e">
        <f t="shared" si="31"/>
        <v>#N/A</v>
      </c>
      <c r="R42" s="705" t="e">
        <f t="shared" si="31"/>
        <v>#N/A</v>
      </c>
      <c r="S42" s="697" t="e">
        <f t="shared" si="31"/>
        <v>#N/A</v>
      </c>
      <c r="T42" s="703" t="e">
        <f t="shared" si="31"/>
        <v>#N/A</v>
      </c>
      <c r="U42" s="705" t="e">
        <f t="shared" si="31"/>
        <v>#N/A</v>
      </c>
      <c r="V42" s="697">
        <f t="shared" si="31"/>
        <v>0</v>
      </c>
      <c r="W42" s="703">
        <f t="shared" si="31"/>
        <v>0</v>
      </c>
      <c r="X42" s="705" t="e">
        <f t="shared" ref="X42:Z42" si="33">0.86*X41/1000</f>
        <v>#N/A</v>
      </c>
      <c r="Y42" s="697">
        <f t="shared" si="33"/>
        <v>0</v>
      </c>
      <c r="Z42" s="703">
        <f t="shared" si="33"/>
        <v>0</v>
      </c>
      <c r="AA42" s="705" t="e">
        <f t="shared" ref="AA42:AC42" si="34">0.86*AA41/1000</f>
        <v>#N/A</v>
      </c>
      <c r="AB42" s="697">
        <f t="shared" si="34"/>
        <v>0</v>
      </c>
      <c r="AC42" s="703">
        <f t="shared" si="34"/>
        <v>0</v>
      </c>
      <c r="AD42" s="705" t="e">
        <f t="shared" ref="AD42:AF42" si="35">0.86*AD41/1000</f>
        <v>#N/A</v>
      </c>
      <c r="AE42" s="697">
        <f t="shared" si="35"/>
        <v>0</v>
      </c>
      <c r="AF42" s="703">
        <f t="shared" si="35"/>
        <v>0</v>
      </c>
      <c r="AG42" s="705" t="e">
        <f t="shared" ref="AG42:AH42" si="36">0.86*AG41/1000</f>
        <v>#N/A</v>
      </c>
      <c r="AH42" s="697">
        <f t="shared" si="36"/>
        <v>0</v>
      </c>
      <c r="AI42" s="703">
        <f>0.86*AI41/1000</f>
        <v>0</v>
      </c>
      <c r="AJ42" s="705" t="e">
        <f t="shared" ref="AJ42" si="37">0.86*AJ41/1000</f>
        <v>#N/A</v>
      </c>
      <c r="AK42" s="697" t="e">
        <f t="shared" ref="AK42" si="38">0.86*AK41/1000</f>
        <v>#N/A</v>
      </c>
      <c r="AL42" s="703">
        <f t="shared" ref="AL42:AM42" si="39">0.86*AL41/1000</f>
        <v>0</v>
      </c>
      <c r="AM42" s="705" t="e">
        <f t="shared" si="39"/>
        <v>#N/A</v>
      </c>
      <c r="AN42" s="697" t="e">
        <f t="shared" ref="AN42" si="40">0.86*AN41/1000</f>
        <v>#N/A</v>
      </c>
      <c r="AO42" s="703" t="e">
        <f t="shared" ref="AO42:AP42" si="41">0.86*AO41/1000</f>
        <v>#N/A</v>
      </c>
      <c r="AP42" s="705" t="e">
        <f t="shared" si="41"/>
        <v>#N/A</v>
      </c>
      <c r="AQ42" s="697" t="e">
        <f t="shared" ref="AQ42" si="42">0.86*AQ41/1000</f>
        <v>#N/A</v>
      </c>
      <c r="AR42" s="703" t="e">
        <f t="shared" ref="AR42" si="43">0.86*AR41/1000</f>
        <v>#N/A</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75" thickBot="1" x14ac:dyDescent="0.3">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25">
      <c r="A44" s="349" t="s">
        <v>1199</v>
      </c>
      <c r="B44" s="339" t="s">
        <v>842</v>
      </c>
      <c r="C44" s="350" t="e">
        <f>IF(C135=0,0,B135/C135*D135)*0.024*$D$147</f>
        <v>#N/A</v>
      </c>
      <c r="D44" s="723" t="e">
        <f>C44*($D$38/$C$38)</f>
        <v>#N/A</v>
      </c>
      <c r="E44" s="724" t="e">
        <f>C44*($E$38/$C$38)</f>
        <v>#N/A</v>
      </c>
      <c r="F44" s="87"/>
      <c r="G44" s="351" t="s">
        <v>1199</v>
      </c>
      <c r="H44" s="343" t="s">
        <v>842</v>
      </c>
      <c r="I44" s="352" t="e">
        <f>IF($C135=0,0,$B135/$C135*$D135)*0.024*G$147</f>
        <v>#N/A</v>
      </c>
      <c r="J44" s="627" t="e">
        <f>I44*($J$38/$I$38)</f>
        <v>#N/A</v>
      </c>
      <c r="K44" s="725" t="e">
        <f>I44*($K$38/$I$38)</f>
        <v>#N/A</v>
      </c>
      <c r="L44" s="352" t="e">
        <f>IF($C135=0,0,$B135/$C135*$D135)*0.024*H$147</f>
        <v>#N/A</v>
      </c>
      <c r="M44" s="726" t="e">
        <f>L44*($M$38/$L$38)</f>
        <v>#N/A</v>
      </c>
      <c r="N44" s="727" t="e">
        <f>L44*($N$38/$L$38)</f>
        <v>#N/A</v>
      </c>
      <c r="O44" s="352" t="e">
        <f>IF($C135=0,0,$B135/$C135*$D135)*0.024*I$147</f>
        <v>#N/A</v>
      </c>
      <c r="P44" s="728" t="e">
        <f>O44*($P$38/$O$38)</f>
        <v>#N/A</v>
      </c>
      <c r="Q44" s="729" t="e">
        <f>O44*($Q$38/$O$38)</f>
        <v>#N/A</v>
      </c>
      <c r="R44" s="352" t="e">
        <f>IF($C135=0,0,$B135/$C135*$D135)*0.024*J$147</f>
        <v>#N/A</v>
      </c>
      <c r="S44" s="728" t="e">
        <f>R44*($S$38/$R$38)</f>
        <v>#N/A</v>
      </c>
      <c r="T44" s="729" t="e">
        <f>R44*($T$38/$R$38)</f>
        <v>#N/A</v>
      </c>
      <c r="U44" s="352" t="e">
        <f>IF($C135=0,0,$B135/$C135*$D135)*0.024*K$147</f>
        <v>#N/A</v>
      </c>
      <c r="V44" s="728">
        <f>IFERROR(U44*($V$38/$U$38),0)</f>
        <v>0</v>
      </c>
      <c r="W44" s="729">
        <f>IFERROR(U44*($W$38/$U$38),0)</f>
        <v>0</v>
      </c>
      <c r="X44" s="352" t="e">
        <f>IF($C135=0,0,$B135/$C135*$D135)*0.024*L$147</f>
        <v>#N/A</v>
      </c>
      <c r="Y44" s="728">
        <f>IFERROR(X44*($Y$38/$X$38),0)</f>
        <v>0</v>
      </c>
      <c r="Z44" s="729">
        <f>IFERROR(X44*($Z$38/$X$38),0)</f>
        <v>0</v>
      </c>
      <c r="AA44" s="352" t="e">
        <f>IF($C135=0,0,$B135/$C135*$D135)*0.024*M$147</f>
        <v>#N/A</v>
      </c>
      <c r="AB44" s="728">
        <f>IFERROR(AA44*($AB$38/$AA$38),0)</f>
        <v>0</v>
      </c>
      <c r="AC44" s="729">
        <f>IFERROR(AA44*($AC$38/$AA$38),0)</f>
        <v>0</v>
      </c>
      <c r="AD44" s="352" t="e">
        <f>IF($C135=0,0,$B135/$C135*$D135)*0.024*N$147</f>
        <v>#N/A</v>
      </c>
      <c r="AE44" s="728">
        <f>IFERROR(AD44*($AE$38/$AD$38),0)</f>
        <v>0</v>
      </c>
      <c r="AF44" s="729">
        <f>IFERROR(AD44*($AF$35/$AD$35),)</f>
        <v>0</v>
      </c>
      <c r="AG44" s="352" t="e">
        <f>IF($C135=0,0,$B135/$C135*$D135)*0.024*O$147</f>
        <v>#N/A</v>
      </c>
      <c r="AH44" s="728">
        <f>IFERROR(AG44*($AH$38/$AG$38),0)</f>
        <v>0</v>
      </c>
      <c r="AI44" s="729">
        <f>IFERROR(AG44*($AI$35/$AG$35),0)</f>
        <v>0</v>
      </c>
      <c r="AJ44" s="352" t="e">
        <f>IF($C135=0,0,$B135/$C135*$D135)*0.024*P$147</f>
        <v>#N/A</v>
      </c>
      <c r="AK44" s="728" t="e">
        <f>AJ44*($AK$38/$AJ$38)</f>
        <v>#N/A</v>
      </c>
      <c r="AL44" s="729">
        <f>IFERROR(AJ44*($AL$38/$AJ$38),0)</f>
        <v>0</v>
      </c>
      <c r="AM44" s="352" t="e">
        <f>IF($C135=0,0,$B135/$C135*$D135)*0.024*Q$147</f>
        <v>#N/A</v>
      </c>
      <c r="AN44" s="728" t="e">
        <f>AM44*($AN$38/$AM$38)</f>
        <v>#N/A</v>
      </c>
      <c r="AO44" s="729" t="e">
        <f>AM44*($AO$38/$AM$38)</f>
        <v>#N/A</v>
      </c>
      <c r="AP44" s="352" t="e">
        <f>IF($C135=0,0,$B135/$C135*$D135)*0.024*R$147</f>
        <v>#N/A</v>
      </c>
      <c r="AQ44" s="728" t="e">
        <f>AP44*($AQ$38/$AP$38)</f>
        <v>#N/A</v>
      </c>
      <c r="AR44" s="729" t="e">
        <f>AP44*($AR$38/$AP$38)</f>
        <v>#N/A</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25">
      <c r="A45" s="375" t="s">
        <v>874</v>
      </c>
      <c r="B45" s="376" t="s">
        <v>1184</v>
      </c>
      <c r="C45" s="575" t="e">
        <f>0.86*C44/1000</f>
        <v>#N/A</v>
      </c>
      <c r="D45" s="394" t="e">
        <f>0.86*D44/1000</f>
        <v>#N/A</v>
      </c>
      <c r="E45" s="693" t="e">
        <f>0.86*E44/1000</f>
        <v>#N/A</v>
      </c>
      <c r="F45" s="87"/>
      <c r="G45" s="396" t="s">
        <v>874</v>
      </c>
      <c r="H45" s="397" t="s">
        <v>1184</v>
      </c>
      <c r="I45" s="705" t="e">
        <f t="shared" ref="I45:O45" si="44">0.86*I44/1000</f>
        <v>#N/A</v>
      </c>
      <c r="J45" s="697" t="e">
        <f t="shared" si="44"/>
        <v>#N/A</v>
      </c>
      <c r="K45" s="730" t="e">
        <f t="shared" si="44"/>
        <v>#N/A</v>
      </c>
      <c r="L45" s="705" t="e">
        <f t="shared" ref="L45" si="45">0.86*L44/1000</f>
        <v>#N/A</v>
      </c>
      <c r="M45" s="700" t="e">
        <f t="shared" si="44"/>
        <v>#N/A</v>
      </c>
      <c r="N45" s="700" t="e">
        <f t="shared" si="44"/>
        <v>#N/A</v>
      </c>
      <c r="O45" s="705" t="e">
        <f t="shared" si="44"/>
        <v>#N/A</v>
      </c>
      <c r="P45" s="734" t="e">
        <f t="shared" ref="P45:P57" si="46">O45*($P$35/$O$35)</f>
        <v>#N/A</v>
      </c>
      <c r="Q45" s="735" t="e">
        <f t="shared" ref="Q45" si="47">O45*($Q$35/$O$35)</f>
        <v>#N/A</v>
      </c>
      <c r="R45" s="705" t="e">
        <f t="shared" ref="R45" si="48">0.86*R44/1000</f>
        <v>#N/A</v>
      </c>
      <c r="S45" s="697" t="e">
        <f>0.86*S44/1000</f>
        <v>#N/A</v>
      </c>
      <c r="T45" s="703" t="e">
        <f>0.86*T44/1000</f>
        <v>#N/A</v>
      </c>
      <c r="U45" s="705" t="e">
        <f t="shared" ref="U45:W45" si="49">0.86*U44/1000</f>
        <v>#N/A</v>
      </c>
      <c r="V45" s="697">
        <f t="shared" si="49"/>
        <v>0</v>
      </c>
      <c r="W45" s="703">
        <f t="shared" si="49"/>
        <v>0</v>
      </c>
      <c r="X45" s="705" t="e">
        <f t="shared" ref="X45:Z45" si="50">0.86*X44/1000</f>
        <v>#N/A</v>
      </c>
      <c r="Y45" s="697">
        <f t="shared" si="50"/>
        <v>0</v>
      </c>
      <c r="Z45" s="703">
        <f t="shared" si="50"/>
        <v>0</v>
      </c>
      <c r="AA45" s="705" t="e">
        <f t="shared" ref="AA45:AC45" si="51">0.86*AA44/1000</f>
        <v>#N/A</v>
      </c>
      <c r="AB45" s="697">
        <f t="shared" si="51"/>
        <v>0</v>
      </c>
      <c r="AC45" s="703">
        <f t="shared" si="51"/>
        <v>0</v>
      </c>
      <c r="AD45" s="705" t="e">
        <f t="shared" ref="AD45:AF45" si="52">0.86*AD44/1000</f>
        <v>#N/A</v>
      </c>
      <c r="AE45" s="697">
        <f t="shared" si="52"/>
        <v>0</v>
      </c>
      <c r="AF45" s="703">
        <f t="shared" si="52"/>
        <v>0</v>
      </c>
      <c r="AG45" s="705" t="e">
        <f t="shared" ref="AG45:AH45" si="53">0.86*AG44/1000</f>
        <v>#N/A</v>
      </c>
      <c r="AH45" s="697">
        <f t="shared" si="53"/>
        <v>0</v>
      </c>
      <c r="AI45" s="703">
        <f>0.86*AI44/1000</f>
        <v>0</v>
      </c>
      <c r="AJ45" s="705" t="e">
        <f t="shared" ref="AJ45" si="54">0.86*AJ44/1000</f>
        <v>#N/A</v>
      </c>
      <c r="AK45" s="697" t="e">
        <f t="shared" ref="AK45" si="55">0.86*AK44/1000</f>
        <v>#N/A</v>
      </c>
      <c r="AL45" s="703">
        <f t="shared" ref="AL45:AM45" si="56">0.86*AL44/1000</f>
        <v>0</v>
      </c>
      <c r="AM45" s="705" t="e">
        <f t="shared" si="56"/>
        <v>#N/A</v>
      </c>
      <c r="AN45" s="697" t="e">
        <f t="shared" ref="AN45" si="57">0.86*AN44/1000</f>
        <v>#N/A</v>
      </c>
      <c r="AO45" s="703" t="e">
        <f t="shared" ref="AO45:AP45" si="58">0.86*AO44/1000</f>
        <v>#N/A</v>
      </c>
      <c r="AP45" s="705" t="e">
        <f t="shared" si="58"/>
        <v>#N/A</v>
      </c>
      <c r="AQ45" s="697" t="e">
        <f t="shared" ref="AQ45" si="59">0.86*AQ44/1000</f>
        <v>#N/A</v>
      </c>
      <c r="AR45" s="703" t="e">
        <f t="shared" ref="AR45" si="60">0.86*AR44/1000</f>
        <v>#N/A</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25">
      <c r="A47" s="349" t="s">
        <v>1201</v>
      </c>
      <c r="B47" s="339" t="s">
        <v>842</v>
      </c>
      <c r="C47" s="350" t="e">
        <f>IF(C136=0,0,B136/C136*D136)*0.024*$D$147</f>
        <v>#DIV/0!</v>
      </c>
      <c r="D47" s="723" t="e">
        <f>C47*($D$35/$C$35)</f>
        <v>#DIV/0!</v>
      </c>
      <c r="E47" s="724" t="e">
        <f>C47*($E$38/$C$38)</f>
        <v>#DIV/0!</v>
      </c>
      <c r="F47" s="87"/>
      <c r="G47" s="351" t="s">
        <v>1201</v>
      </c>
      <c r="H47" s="343" t="s">
        <v>842</v>
      </c>
      <c r="I47" s="352" t="e">
        <f>IF($C136=0,0,$B136/$C136*$D136)*0.024*G$147</f>
        <v>#DIV/0!</v>
      </c>
      <c r="J47" s="627" t="e">
        <f>I47*($J$38/$I$38)</f>
        <v>#DIV/0!</v>
      </c>
      <c r="K47" s="725" t="e">
        <f>I47*($K$38/$I$38)</f>
        <v>#DIV/0!</v>
      </c>
      <c r="L47" s="352" t="e">
        <f>IF($C136=0,0,$B136/$C136*$D136)*0.024*H$147</f>
        <v>#DIV/0!</v>
      </c>
      <c r="M47" s="726" t="e">
        <f>L47*($M$38/$L$38)</f>
        <v>#DIV/0!</v>
      </c>
      <c r="N47" s="725" t="e">
        <f>L47*($N$38/$L$38)</f>
        <v>#DIV/0!</v>
      </c>
      <c r="O47" s="352" t="e">
        <f>IF($C136=0,0,$B136/$C136*$D136)*0.024*I$147</f>
        <v>#DIV/0!</v>
      </c>
      <c r="P47" s="728" t="e">
        <f>O47*($P$38/$O$38)</f>
        <v>#DIV/0!</v>
      </c>
      <c r="Q47" s="729" t="e">
        <f>O47*($Q$38/$O$38)</f>
        <v>#DIV/0!</v>
      </c>
      <c r="R47" s="352" t="e">
        <f>IF($C136=0,0,$B136/$C136*$D136)*0.024*J$147</f>
        <v>#DIV/0!</v>
      </c>
      <c r="S47" s="728" t="e">
        <f>R47*($S$38/$R$38)</f>
        <v>#DIV/0!</v>
      </c>
      <c r="T47" s="729" t="e">
        <f>R47*($T$38/$R$38)</f>
        <v>#DIV/0!</v>
      </c>
      <c r="U47" s="352" t="e">
        <f>IF($C136=0,0,$B136/$C136*$D136)*0.024*K$147</f>
        <v>#DIV/0!</v>
      </c>
      <c r="V47" s="728">
        <f>IFERROR(U47*($V$38/$U$38),0)</f>
        <v>0</v>
      </c>
      <c r="W47" s="729">
        <f>IFERROR(U47*($W$38/$U$38),0)</f>
        <v>0</v>
      </c>
      <c r="X47" s="352" t="e">
        <f>IF($C136=0,0,$B136/$C136*$D136)*0.024*L$147</f>
        <v>#DIV/0!</v>
      </c>
      <c r="Y47" s="728">
        <f>IFERROR(X47*($Y$38/$X$38),0)</f>
        <v>0</v>
      </c>
      <c r="Z47" s="729">
        <f>IFERROR(X47*($Z$38/$X$38),0)</f>
        <v>0</v>
      </c>
      <c r="AA47" s="352" t="e">
        <f>IF($C136=0,0,$B136/$C136*$D136)*0.024*M$147</f>
        <v>#DIV/0!</v>
      </c>
      <c r="AB47" s="728">
        <f>IFERROR(AA47*($AB$38/$AA$38),0)</f>
        <v>0</v>
      </c>
      <c r="AC47" s="729">
        <f>IFERROR(AA47*($AC$38/$AA$38),0)</f>
        <v>0</v>
      </c>
      <c r="AD47" s="352" t="e">
        <f>IF($C136=0,0,$B136/$C136*$D136)*0.024*N$147</f>
        <v>#DIV/0!</v>
      </c>
      <c r="AE47" s="728">
        <f>IFERROR(AD47*($AE$38/$AD$38),0)</f>
        <v>0</v>
      </c>
      <c r="AF47" s="729">
        <f>IFERROR(AD47*($AF$35/$AD$35),)</f>
        <v>0</v>
      </c>
      <c r="AG47" s="352" t="e">
        <f>IF($C136=0,0,$B136/$C136*$D136)*0.024*O$147</f>
        <v>#DIV/0!</v>
      </c>
      <c r="AH47" s="737">
        <f>IFERROR(AG47*($AH$35/$AG$35),0)</f>
        <v>0</v>
      </c>
      <c r="AI47" s="738">
        <f>IFERROR(AG47*($AI$35/$AG$35),0)</f>
        <v>0</v>
      </c>
      <c r="AJ47" s="352" t="e">
        <f>IF($C136=0,0,$B136/$C136*$D136)*0.024*P$147</f>
        <v>#DIV/0!</v>
      </c>
      <c r="AK47" s="728" t="e">
        <f>AJ47*($AK$38/$AJ$38)</f>
        <v>#DIV/0!</v>
      </c>
      <c r="AL47" s="729">
        <f>IFERROR(AJ47*($AL$38/$AJ$38),)</f>
        <v>0</v>
      </c>
      <c r="AM47" s="352" t="e">
        <f>IF($C136=0,0,$B136/$C136*$D136)*0.024*Q$147</f>
        <v>#DIV/0!</v>
      </c>
      <c r="AN47" s="728" t="e">
        <f>AM47*($AN$38/$AM$38)</f>
        <v>#DIV/0!</v>
      </c>
      <c r="AO47" s="729" t="e">
        <f>AM47*($AO$38/$AM$38)</f>
        <v>#DIV/0!</v>
      </c>
      <c r="AP47" s="352" t="e">
        <f>IF($C136=0,0,$B136/$C136*$D136)*0.024*R$147</f>
        <v>#DIV/0!</v>
      </c>
      <c r="AQ47" s="728" t="e">
        <f>AP47*($AQ$38/$AP$38)</f>
        <v>#DIV/0!</v>
      </c>
      <c r="AR47" s="729" t="e">
        <f>AP47*($AR$38/$AP$38)</f>
        <v>#DIV/0!</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25">
      <c r="A48" s="375" t="s">
        <v>874</v>
      </c>
      <c r="B48" s="376" t="s">
        <v>1184</v>
      </c>
      <c r="C48" s="575" t="e">
        <f>0.86*C47/1000</f>
        <v>#DIV/0!</v>
      </c>
      <c r="D48" s="394" t="e">
        <f>0.86*D47/1000</f>
        <v>#DIV/0!</v>
      </c>
      <c r="E48" s="693" t="e">
        <f>0.86*E47/1000</f>
        <v>#DIV/0!</v>
      </c>
      <c r="F48" s="87"/>
      <c r="G48" s="396" t="s">
        <v>874</v>
      </c>
      <c r="H48" s="397" t="s">
        <v>1184</v>
      </c>
      <c r="I48" s="740" t="e">
        <f t="shared" ref="I48:O48" si="61">0.86*I47/1000</f>
        <v>#DIV/0!</v>
      </c>
      <c r="J48" s="697" t="e">
        <f t="shared" si="61"/>
        <v>#DIV/0!</v>
      </c>
      <c r="K48" s="741" t="e">
        <f t="shared" si="61"/>
        <v>#DIV/0!</v>
      </c>
      <c r="L48" s="740" t="e">
        <f t="shared" ref="L48" si="62">0.86*L47/1000</f>
        <v>#DIV/0!</v>
      </c>
      <c r="M48" s="700" t="e">
        <f t="shared" si="61"/>
        <v>#DIV/0!</v>
      </c>
      <c r="N48" s="698" t="e">
        <f t="shared" si="61"/>
        <v>#DIV/0!</v>
      </c>
      <c r="O48" s="740" t="e">
        <f t="shared" si="61"/>
        <v>#DIV/0!</v>
      </c>
      <c r="P48" s="734" t="e">
        <f t="shared" si="46"/>
        <v>#DIV/0!</v>
      </c>
      <c r="Q48" s="735" t="e">
        <f t="shared" ref="Q48" si="63">O48*($Q$35/$O$35)</f>
        <v>#DIV/0!</v>
      </c>
      <c r="R48" s="740" t="e">
        <f t="shared" ref="R48" si="64">0.86*R47/1000</f>
        <v>#DIV/0!</v>
      </c>
      <c r="S48" s="742" t="e">
        <f>0.86*S47/1000</f>
        <v>#DIV/0!</v>
      </c>
      <c r="T48" s="743" t="e">
        <f>0.86*T47/1000</f>
        <v>#DIV/0!</v>
      </c>
      <c r="U48" s="740" t="e">
        <f t="shared" ref="U48:W48" si="65">0.86*U47/1000</f>
        <v>#DIV/0!</v>
      </c>
      <c r="V48" s="697">
        <f t="shared" si="65"/>
        <v>0</v>
      </c>
      <c r="W48" s="703">
        <f t="shared" si="65"/>
        <v>0</v>
      </c>
      <c r="X48" s="740" t="e">
        <f t="shared" ref="X48:Z48" si="66">0.86*X47/1000</f>
        <v>#DIV/0!</v>
      </c>
      <c r="Y48" s="697">
        <f t="shared" si="66"/>
        <v>0</v>
      </c>
      <c r="Z48" s="703">
        <f t="shared" si="66"/>
        <v>0</v>
      </c>
      <c r="AA48" s="740" t="e">
        <f t="shared" ref="AA48:AC48" si="67">0.86*AA47/1000</f>
        <v>#DIV/0!</v>
      </c>
      <c r="AB48" s="697">
        <f t="shared" si="67"/>
        <v>0</v>
      </c>
      <c r="AC48" s="703">
        <f t="shared" si="67"/>
        <v>0</v>
      </c>
      <c r="AD48" s="740" t="e">
        <f t="shared" ref="AD48:AF48" si="68">0.86*AD47/1000</f>
        <v>#DIV/0!</v>
      </c>
      <c r="AE48" s="697">
        <f t="shared" si="68"/>
        <v>0</v>
      </c>
      <c r="AF48" s="703">
        <f t="shared" si="68"/>
        <v>0</v>
      </c>
      <c r="AG48" s="740" t="e">
        <f t="shared" ref="AG48:AH48" si="69">0.86*AG47/1000</f>
        <v>#DIV/0!</v>
      </c>
      <c r="AH48" s="697">
        <f t="shared" si="69"/>
        <v>0</v>
      </c>
      <c r="AI48" s="703">
        <f>0.86*AI47/1000</f>
        <v>0</v>
      </c>
      <c r="AJ48" s="740" t="e">
        <f t="shared" ref="AJ48" si="70">0.86*AJ47/1000</f>
        <v>#DIV/0!</v>
      </c>
      <c r="AK48" s="697" t="e">
        <f t="shared" ref="AK48" si="71">0.86*AK47/1000</f>
        <v>#DIV/0!</v>
      </c>
      <c r="AL48" s="703">
        <f t="shared" ref="AL48:AM48" si="72">0.86*AL47/1000</f>
        <v>0</v>
      </c>
      <c r="AM48" s="740" t="e">
        <f t="shared" si="72"/>
        <v>#DIV/0!</v>
      </c>
      <c r="AN48" s="697" t="e">
        <f t="shared" ref="AN48" si="73">0.86*AN47/1000</f>
        <v>#DIV/0!</v>
      </c>
      <c r="AO48" s="703" t="e">
        <f t="shared" ref="AO48:AP48" si="74">0.86*AO47/1000</f>
        <v>#DIV/0!</v>
      </c>
      <c r="AP48" s="740" t="e">
        <f t="shared" si="74"/>
        <v>#DIV/0!</v>
      </c>
      <c r="AQ48" s="697" t="e">
        <f t="shared" ref="AQ48" si="75">0.86*AQ47/1000</f>
        <v>#DIV/0!</v>
      </c>
      <c r="AR48" s="703" t="e">
        <f t="shared" ref="AR48" si="76">0.86*AR47/1000</f>
        <v>#DIV/0!</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25">
      <c r="A50" s="349" t="s">
        <v>1609</v>
      </c>
      <c r="B50" s="339" t="s">
        <v>842</v>
      </c>
      <c r="C50" s="350" t="e">
        <f>IF(C137=0,0,B137/C137*D137)*0.024*$D$147</f>
        <v>#N/A</v>
      </c>
      <c r="D50" s="723" t="e">
        <f>C50*($D$35/$C$35)</f>
        <v>#N/A</v>
      </c>
      <c r="E50" s="724" t="e">
        <f>C50*($E$38/$C$38)</f>
        <v>#N/A</v>
      </c>
      <c r="F50" s="87"/>
      <c r="G50" s="349" t="s">
        <v>1609</v>
      </c>
      <c r="H50" s="343" t="s">
        <v>842</v>
      </c>
      <c r="I50" s="352" t="e">
        <f>IF($C137=0,0,$B137/$C137*$D137)*0.024*G$147</f>
        <v>#N/A</v>
      </c>
      <c r="J50" s="627" t="e">
        <f>I50*($J$38/$I$38)</f>
        <v>#N/A</v>
      </c>
      <c r="K50" s="725" t="e">
        <f>I50*($K$38/$I$38)</f>
        <v>#N/A</v>
      </c>
      <c r="L50" s="352" t="e">
        <f>IF($C137=0,0,$B137/$C137*$D137)*0.024*H$147</f>
        <v>#N/A</v>
      </c>
      <c r="M50" s="726" t="e">
        <f>L50*($M$38/$L$38)</f>
        <v>#N/A</v>
      </c>
      <c r="N50" s="725" t="e">
        <f>L50*($N$38/$L$38)</f>
        <v>#N/A</v>
      </c>
      <c r="O50" s="352" t="e">
        <f>IF($C137=0,0,$B137/$C137*$D137)*0.024*I$147</f>
        <v>#N/A</v>
      </c>
      <c r="P50" s="728" t="e">
        <f>O50*($P$38/$O$38)</f>
        <v>#N/A</v>
      </c>
      <c r="Q50" s="729" t="e">
        <f>O50*($Q$38/$O$38)</f>
        <v>#N/A</v>
      </c>
      <c r="R50" s="352" t="e">
        <f>IF($C137=0,0,$B137/$C137*$D137)*0.024*J$147</f>
        <v>#N/A</v>
      </c>
      <c r="S50" s="728" t="e">
        <f>R50*($S$38/$R$38)</f>
        <v>#N/A</v>
      </c>
      <c r="T50" s="729" t="e">
        <f>R50*($T$38/$R$38)</f>
        <v>#N/A</v>
      </c>
      <c r="U50" s="352" t="e">
        <f>IF($C137=0,0,$B137/$C137*$D137)*0.024*K$147</f>
        <v>#N/A</v>
      </c>
      <c r="V50" s="728">
        <f>IFERROR(U50*($V$38/$U$38),0)</f>
        <v>0</v>
      </c>
      <c r="W50" s="729">
        <f>IFERROR(U50*($W$38/$U$38),0)</f>
        <v>0</v>
      </c>
      <c r="X50" s="352" t="e">
        <f>IF($C137=0,0,$B137/$C137*$D137)*0.024*L$147</f>
        <v>#N/A</v>
      </c>
      <c r="Y50" s="728">
        <f>IFERROR(X50*($Y$38/$X$38),0)</f>
        <v>0</v>
      </c>
      <c r="Z50" s="729">
        <f>IFERROR(X50*($Z$38/$X$38),0)</f>
        <v>0</v>
      </c>
      <c r="AA50" s="352" t="e">
        <f>IF($C137=0,0,$B137/$C137*$D137)*0.024*M$147</f>
        <v>#N/A</v>
      </c>
      <c r="AB50" s="728">
        <f>IFERROR(AA50*($AB$38/$AA$38),0)</f>
        <v>0</v>
      </c>
      <c r="AC50" s="729">
        <f>IFERROR(AA50*($AC$38/$AA$38),0)</f>
        <v>0</v>
      </c>
      <c r="AD50" s="352" t="e">
        <f>IF($C137=0,0,$B137/$C137*$D137)*0.024*N$147</f>
        <v>#N/A</v>
      </c>
      <c r="AE50" s="728">
        <f>IFERROR(AD50*($AE$38/$AD$38),0)</f>
        <v>0</v>
      </c>
      <c r="AF50" s="729">
        <f>IFERROR(AD50*($AF$35/$AD$35),)</f>
        <v>0</v>
      </c>
      <c r="AG50" s="352" t="e">
        <f>IF($C137=0,0,$B137/$C137*$D137)*0.024*O$147</f>
        <v>#N/A</v>
      </c>
      <c r="AH50" s="737">
        <f>IFERROR(AG50*($AH$35/$AG$35),0)</f>
        <v>0</v>
      </c>
      <c r="AI50" s="738">
        <f>IFERROR(AG50*($AI$35/$AG$35),0)</f>
        <v>0</v>
      </c>
      <c r="AJ50" s="352" t="e">
        <f>IF($C137=0,0,$B137/$C137*$D137)*0.024*P$147</f>
        <v>#N/A</v>
      </c>
      <c r="AK50" s="728" t="e">
        <f>AJ50*($AK$38/$AJ$38)</f>
        <v>#N/A</v>
      </c>
      <c r="AL50" s="729">
        <f>IFERROR(AJ50*($AL$38/$AJ$38),)</f>
        <v>0</v>
      </c>
      <c r="AM50" s="352" t="e">
        <f>IF($C137=0,0,$B137/$C137*$D137)*0.024*Q$147</f>
        <v>#N/A</v>
      </c>
      <c r="AN50" s="728" t="e">
        <f>AM50*($AN$38/$AM$38)</f>
        <v>#N/A</v>
      </c>
      <c r="AO50" s="729" t="e">
        <f>AM50*($AO$38/$AM$38)</f>
        <v>#N/A</v>
      </c>
      <c r="AP50" s="352" t="e">
        <f>IF($C137=0,0,$B137/$C137*$D137)*0.024*R$147</f>
        <v>#N/A</v>
      </c>
      <c r="AQ50" s="728" t="e">
        <f>AP50*($AQ$38/$AP$38)</f>
        <v>#N/A</v>
      </c>
      <c r="AR50" s="729" t="e">
        <f>AP50*($AR$38/$AP$38)</f>
        <v>#N/A</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25">
      <c r="A51" s="375" t="s">
        <v>874</v>
      </c>
      <c r="B51" s="376" t="s">
        <v>1184</v>
      </c>
      <c r="C51" s="575" t="e">
        <f>0.86*C50/1000</f>
        <v>#N/A</v>
      </c>
      <c r="D51" s="394" t="e">
        <f>0.86*D50/1000</f>
        <v>#N/A</v>
      </c>
      <c r="E51" s="693" t="e">
        <f>0.86*E50/1000</f>
        <v>#N/A</v>
      </c>
      <c r="F51" s="87"/>
      <c r="G51" s="396" t="s">
        <v>874</v>
      </c>
      <c r="H51" s="397" t="s">
        <v>1184</v>
      </c>
      <c r="I51" s="740" t="e">
        <f t="shared" ref="I51:O51" si="77">0.86*I50/1000</f>
        <v>#N/A</v>
      </c>
      <c r="J51" s="697" t="e">
        <f t="shared" si="77"/>
        <v>#N/A</v>
      </c>
      <c r="K51" s="741" t="e">
        <f t="shared" si="77"/>
        <v>#N/A</v>
      </c>
      <c r="L51" s="740" t="e">
        <f t="shared" si="77"/>
        <v>#N/A</v>
      </c>
      <c r="M51" s="700" t="e">
        <f t="shared" si="77"/>
        <v>#N/A</v>
      </c>
      <c r="N51" s="698" t="e">
        <f t="shared" si="77"/>
        <v>#N/A</v>
      </c>
      <c r="O51" s="740" t="e">
        <f t="shared" si="77"/>
        <v>#N/A</v>
      </c>
      <c r="P51" s="734" t="e">
        <f t="shared" ref="P51" si="78">O51*($P$35/$O$35)</f>
        <v>#N/A</v>
      </c>
      <c r="Q51" s="735" t="e">
        <f t="shared" ref="Q51" si="79">O51*($Q$35/$O$35)</f>
        <v>#N/A</v>
      </c>
      <c r="R51" s="740" t="e">
        <f t="shared" ref="R51" si="80">0.86*R50/1000</f>
        <v>#N/A</v>
      </c>
      <c r="S51" s="742" t="e">
        <f>0.86*S50/1000</f>
        <v>#N/A</v>
      </c>
      <c r="T51" s="743" t="e">
        <f>0.86*T50/1000</f>
        <v>#N/A</v>
      </c>
      <c r="U51" s="740" t="e">
        <f t="shared" ref="U51:AH51" si="81">0.86*U50/1000</f>
        <v>#N/A</v>
      </c>
      <c r="V51" s="697">
        <f t="shared" si="81"/>
        <v>0</v>
      </c>
      <c r="W51" s="703">
        <f t="shared" si="81"/>
        <v>0</v>
      </c>
      <c r="X51" s="740" t="e">
        <f t="shared" si="81"/>
        <v>#N/A</v>
      </c>
      <c r="Y51" s="697">
        <f t="shared" si="81"/>
        <v>0</v>
      </c>
      <c r="Z51" s="703">
        <f t="shared" si="81"/>
        <v>0</v>
      </c>
      <c r="AA51" s="740" t="e">
        <f t="shared" si="81"/>
        <v>#N/A</v>
      </c>
      <c r="AB51" s="697">
        <f t="shared" si="81"/>
        <v>0</v>
      </c>
      <c r="AC51" s="703">
        <f t="shared" si="81"/>
        <v>0</v>
      </c>
      <c r="AD51" s="740" t="e">
        <f t="shared" si="81"/>
        <v>#N/A</v>
      </c>
      <c r="AE51" s="697">
        <f t="shared" si="81"/>
        <v>0</v>
      </c>
      <c r="AF51" s="703">
        <f t="shared" si="81"/>
        <v>0</v>
      </c>
      <c r="AG51" s="740" t="e">
        <f t="shared" si="81"/>
        <v>#N/A</v>
      </c>
      <c r="AH51" s="697">
        <f t="shared" si="81"/>
        <v>0</v>
      </c>
      <c r="AI51" s="703">
        <f>0.86*AI50/1000</f>
        <v>0</v>
      </c>
      <c r="AJ51" s="740" t="e">
        <f t="shared" ref="AJ51:AR51" si="82">0.86*AJ50/1000</f>
        <v>#N/A</v>
      </c>
      <c r="AK51" s="697" t="e">
        <f t="shared" si="82"/>
        <v>#N/A</v>
      </c>
      <c r="AL51" s="703">
        <f t="shared" si="82"/>
        <v>0</v>
      </c>
      <c r="AM51" s="740" t="e">
        <f t="shared" si="82"/>
        <v>#N/A</v>
      </c>
      <c r="AN51" s="697" t="e">
        <f t="shared" si="82"/>
        <v>#N/A</v>
      </c>
      <c r="AO51" s="703" t="e">
        <f t="shared" si="82"/>
        <v>#N/A</v>
      </c>
      <c r="AP51" s="740" t="e">
        <f t="shared" si="82"/>
        <v>#N/A</v>
      </c>
      <c r="AQ51" s="697" t="e">
        <f t="shared" si="82"/>
        <v>#N/A</v>
      </c>
      <c r="AR51" s="703" t="e">
        <f t="shared" si="82"/>
        <v>#N/A</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25">
      <c r="A53" s="349" t="s">
        <v>1203</v>
      </c>
      <c r="B53" s="339" t="s">
        <v>842</v>
      </c>
      <c r="C53" s="350" t="e">
        <f>(IF(C138=0,0,B138/C138*D138)+IF(C139=0,0,B139/C139*D139)+IF(C140=0,0,B140/C140*D140))*0.024*$D$147</f>
        <v>#N/A</v>
      </c>
      <c r="D53" s="723" t="e">
        <f>C53*($D$38/$C$38)</f>
        <v>#N/A</v>
      </c>
      <c r="E53" s="724" t="e">
        <f>C53*($E$38/$C$38)</f>
        <v>#N/A</v>
      </c>
      <c r="F53" s="87"/>
      <c r="G53" s="351" t="s">
        <v>1203</v>
      </c>
      <c r="H53" s="343" t="s">
        <v>842</v>
      </c>
      <c r="I53" s="352" t="e">
        <f>(IF(C138=0,0,B138/C138*D138)+IF(C139=0,0,B139/C139*D139)+IF(C140=0,0,B140/C140*D140))*0.024*G$147</f>
        <v>#N/A</v>
      </c>
      <c r="J53" s="627" t="e">
        <f>I53*($J$38/$I$38)</f>
        <v>#N/A</v>
      </c>
      <c r="K53" s="725" t="e">
        <f>I53*($K$38/$I$38)</f>
        <v>#N/A</v>
      </c>
      <c r="L53" s="352" t="e">
        <f>(IF(C138=0,0,B138/C138*D138)+IF(C139=0,0,B139/C139*D139)+IF(C140=0,0,B140/C140*D140))*0.024*H$147</f>
        <v>#N/A</v>
      </c>
      <c r="M53" s="726" t="e">
        <f>L53*($M$38/$L$38)</f>
        <v>#N/A</v>
      </c>
      <c r="N53" s="725" t="e">
        <f>L53*($N$38/$L$38)</f>
        <v>#N/A</v>
      </c>
      <c r="O53" s="352" t="e">
        <f>(IF(C138=0,0,B138/C138*D138)+IF(C139=0,0,B139/C139*D139)+IF(C140=0,0,B140/C140*D140))*0.024*I$147</f>
        <v>#N/A</v>
      </c>
      <c r="P53" s="728" t="e">
        <f>O53*($P$38/$O$38)</f>
        <v>#N/A</v>
      </c>
      <c r="Q53" s="729" t="e">
        <f>O53*($Q$38/$O$38)</f>
        <v>#N/A</v>
      </c>
      <c r="R53" s="352" t="e">
        <f>(IF(C138=0,0,B138/C138*D138)+IF(C139=0,0,B139/C139*D139)+IF(C140=0,0,B140/C140*D140))*0.024*J$147</f>
        <v>#N/A</v>
      </c>
      <c r="S53" s="728" t="e">
        <f>R53*($S$38/$R$38)</f>
        <v>#N/A</v>
      </c>
      <c r="T53" s="729" t="e">
        <f>R53*($T$38/$R$38)</f>
        <v>#N/A</v>
      </c>
      <c r="U53" s="352" t="e">
        <f>(IF(C138=0,0,B138/C138*D138)+IF(C139=0,0,B139/C139*D139)+IF(C140=0,0,B140/C140*D140))*0.024*K$147</f>
        <v>#N/A</v>
      </c>
      <c r="V53" s="728">
        <f>IFERROR(U53*($V$38/$U$38),0)</f>
        <v>0</v>
      </c>
      <c r="W53" s="729">
        <f>IFERROR(U53*($W$38/$U$38),0)</f>
        <v>0</v>
      </c>
      <c r="X53" s="352" t="e">
        <f>(IF(C138=0,0,B138/C138*D138)+IF(C139=0,0,B139/C139*D139)+IF(C140=0,0,B140/C140*D140))*0.024*L$147</f>
        <v>#N/A</v>
      </c>
      <c r="Y53" s="728">
        <f>IFERROR(X53*($Y$38/$X$38),0)</f>
        <v>0</v>
      </c>
      <c r="Z53" s="729">
        <f>IFERROR(X53*($Z$38/$X$38),0)</f>
        <v>0</v>
      </c>
      <c r="AA53" s="352" t="e">
        <f>(IF(C138=0,0,B138/C138*D138)+IF(C139=0,0,B139/C139*D139)+IF(C140=0,0,B140/C140*D140))*0.024*M$147</f>
        <v>#N/A</v>
      </c>
      <c r="AB53" s="728">
        <f>IFERROR(AA53*($AB$38/$AA$38),0)</f>
        <v>0</v>
      </c>
      <c r="AC53" s="729">
        <f>IFERROR(AA53*($AC$38/$AA$38),0)</f>
        <v>0</v>
      </c>
      <c r="AD53" s="352" t="e">
        <f>(IF(C138=0,0,B138/C138*D138)+IF(C139=0,0,B139/C139*D139)+IF(C140=0,0,B140/C140*D140))*0.024*N$147</f>
        <v>#N/A</v>
      </c>
      <c r="AE53" s="728">
        <f>IFERROR(AD53*($AE$38/$AD$38),0)</f>
        <v>0</v>
      </c>
      <c r="AF53" s="729">
        <f>IFERROR(AD53*($AF$35/$AD$35),)</f>
        <v>0</v>
      </c>
      <c r="AG53" s="352" t="e">
        <f>(IF(C138=0,0,B138/C138*D138)+IF(C139=0,0,B139/C139*D139)+IF(C140=0,0,B140/C140*D140))*0.024*O$147</f>
        <v>#N/A</v>
      </c>
      <c r="AH53" s="728">
        <f>IFERROR(AG53*($AH$38/$AG$38),)</f>
        <v>0</v>
      </c>
      <c r="AI53" s="729">
        <f>IFERROR(AG53*($AI$35/$AG$35),0)</f>
        <v>0</v>
      </c>
      <c r="AJ53" s="352" t="e">
        <f>(IF(C138=0,0,B138/C138*D138)+IF(C139=0,0,B139/C139*D139)+IF(C140=0,0,B140/C140*D140))*0.024*P$147</f>
        <v>#N/A</v>
      </c>
      <c r="AK53" s="728" t="e">
        <f>AJ53*($AK$38/$AJ$38)</f>
        <v>#N/A</v>
      </c>
      <c r="AL53" s="729">
        <f>IFERROR(AJ53*($AL$38/$AJ$38),0)</f>
        <v>0</v>
      </c>
      <c r="AM53" s="352" t="e">
        <f>(IF(C138=0,0,B138/C138*D138)+IF(C139=0,0,B139/C139*D139)+IF(C140=0,0,B140/C140*D140))*0.024*Q$147</f>
        <v>#N/A</v>
      </c>
      <c r="AN53" s="728" t="e">
        <f>AM53*($AN$38/$AM$38)</f>
        <v>#N/A</v>
      </c>
      <c r="AO53" s="729" t="e">
        <f>AM53*($AO$38/$AM$38)</f>
        <v>#N/A</v>
      </c>
      <c r="AP53" s="352" t="e">
        <f>(IF(C138=0,0,B138/C138*D138)+IF(C139=0,0,B139/C139*D139)+IF(C140=0,0,B140/C140*D140))*0.024*R$147</f>
        <v>#N/A</v>
      </c>
      <c r="AQ53" s="728" t="e">
        <f>AP53*($AQ$38/$AP$38)</f>
        <v>#N/A</v>
      </c>
      <c r="AR53" s="729" t="e">
        <f>AP53*($AR$38/$AP$38)</f>
        <v>#N/A</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25">
      <c r="A54" s="375" t="s">
        <v>874</v>
      </c>
      <c r="B54" s="376" t="s">
        <v>1184</v>
      </c>
      <c r="C54" s="575" t="e">
        <f>0.86*C53/1000</f>
        <v>#N/A</v>
      </c>
      <c r="D54" s="394" t="e">
        <f>0.86*D53/1000</f>
        <v>#N/A</v>
      </c>
      <c r="E54" s="693" t="e">
        <f>0.86*E53/1000</f>
        <v>#N/A</v>
      </c>
      <c r="F54" s="87"/>
      <c r="G54" s="396" t="s">
        <v>874</v>
      </c>
      <c r="H54" s="397" t="s">
        <v>1184</v>
      </c>
      <c r="I54" s="745" t="e">
        <f t="shared" ref="I54:O54" si="83">0.86*I53/1000</f>
        <v>#N/A</v>
      </c>
      <c r="J54" s="697" t="e">
        <f t="shared" si="83"/>
        <v>#N/A</v>
      </c>
      <c r="K54" s="730" t="e">
        <f t="shared" si="83"/>
        <v>#N/A</v>
      </c>
      <c r="L54" s="745" t="e">
        <f t="shared" ref="L54" si="84">0.86*L53/1000</f>
        <v>#N/A</v>
      </c>
      <c r="M54" s="700" t="e">
        <f t="shared" si="83"/>
        <v>#N/A</v>
      </c>
      <c r="N54" s="698" t="e">
        <f t="shared" si="83"/>
        <v>#N/A</v>
      </c>
      <c r="O54" s="745" t="e">
        <f t="shared" si="83"/>
        <v>#N/A</v>
      </c>
      <c r="P54" s="734" t="e">
        <f t="shared" si="46"/>
        <v>#N/A</v>
      </c>
      <c r="Q54" s="735" t="e">
        <f t="shared" ref="Q54" si="85">O54*($Q$35/$O$35)</f>
        <v>#N/A</v>
      </c>
      <c r="R54" s="745" t="e">
        <f t="shared" ref="R54" si="86">0.86*R53/1000</f>
        <v>#N/A</v>
      </c>
      <c r="S54" s="742" t="e">
        <f>0.86*S53/1000</f>
        <v>#N/A</v>
      </c>
      <c r="T54" s="743" t="e">
        <f>0.86*T53/1000</f>
        <v>#N/A</v>
      </c>
      <c r="U54" s="745" t="e">
        <f t="shared" ref="U54:W54" si="87">0.86*U53/1000</f>
        <v>#N/A</v>
      </c>
      <c r="V54" s="697">
        <f t="shared" si="87"/>
        <v>0</v>
      </c>
      <c r="W54" s="703">
        <f t="shared" si="87"/>
        <v>0</v>
      </c>
      <c r="X54" s="745" t="e">
        <f t="shared" ref="X54:Z54" si="88">0.86*X53/1000</f>
        <v>#N/A</v>
      </c>
      <c r="Y54" s="697">
        <f t="shared" si="88"/>
        <v>0</v>
      </c>
      <c r="Z54" s="703">
        <f t="shared" si="88"/>
        <v>0</v>
      </c>
      <c r="AA54" s="745" t="e">
        <f t="shared" ref="AA54:AC54" si="89">0.86*AA53/1000</f>
        <v>#N/A</v>
      </c>
      <c r="AB54" s="697">
        <f t="shared" si="89"/>
        <v>0</v>
      </c>
      <c r="AC54" s="703">
        <f t="shared" si="89"/>
        <v>0</v>
      </c>
      <c r="AD54" s="745" t="e">
        <f t="shared" ref="AD54:AF54" si="90">0.86*AD53/1000</f>
        <v>#N/A</v>
      </c>
      <c r="AE54" s="697">
        <f t="shared" si="90"/>
        <v>0</v>
      </c>
      <c r="AF54" s="703">
        <f t="shared" si="90"/>
        <v>0</v>
      </c>
      <c r="AG54" s="745" t="e">
        <f t="shared" ref="AG54:AH54" si="91">0.86*AG53/1000</f>
        <v>#N/A</v>
      </c>
      <c r="AH54" s="697">
        <f t="shared" si="91"/>
        <v>0</v>
      </c>
      <c r="AI54" s="703">
        <f>0.86*AI53/1000</f>
        <v>0</v>
      </c>
      <c r="AJ54" s="745" t="e">
        <f t="shared" ref="AJ54" si="92">0.86*AJ53/1000</f>
        <v>#N/A</v>
      </c>
      <c r="AK54" s="697" t="e">
        <f t="shared" ref="AK54" si="93">0.86*AK53/1000</f>
        <v>#N/A</v>
      </c>
      <c r="AL54" s="703">
        <f t="shared" ref="AL54:AM54" si="94">0.86*AL53/1000</f>
        <v>0</v>
      </c>
      <c r="AM54" s="745" t="e">
        <f t="shared" si="94"/>
        <v>#N/A</v>
      </c>
      <c r="AN54" s="697" t="e">
        <f t="shared" ref="AN54" si="95">0.86*AN53/1000</f>
        <v>#N/A</v>
      </c>
      <c r="AO54" s="703" t="e">
        <f t="shared" ref="AO54:AP54" si="96">0.86*AO53/1000</f>
        <v>#N/A</v>
      </c>
      <c r="AP54" s="745" t="e">
        <f t="shared" si="96"/>
        <v>#N/A</v>
      </c>
      <c r="AQ54" s="697" t="e">
        <f t="shared" ref="AQ54" si="97">0.86*AQ53/1000</f>
        <v>#N/A</v>
      </c>
      <c r="AR54" s="703" t="e">
        <f t="shared" ref="AR54" si="98">0.86*AR53/1000</f>
        <v>#N/A</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75" thickBot="1" x14ac:dyDescent="0.3">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25">
      <c r="A56" s="349" t="s">
        <v>1204</v>
      </c>
      <c r="B56" s="339" t="s">
        <v>842</v>
      </c>
      <c r="C56" s="350" t="e">
        <f>(IF(C142=0,0,B142/C142*D142)+IF(C141=0,0,B141/C141*D141))*0.024*$D$147</f>
        <v>#N/A</v>
      </c>
      <c r="D56" s="723" t="e">
        <f>C56*($D$38/$C$38)</f>
        <v>#N/A</v>
      </c>
      <c r="E56" s="724" t="e">
        <f>C56*($E$38/$C$38)</f>
        <v>#N/A</v>
      </c>
      <c r="F56" s="87"/>
      <c r="G56" s="351" t="s">
        <v>1204</v>
      </c>
      <c r="H56" s="343" t="s">
        <v>842</v>
      </c>
      <c r="I56" s="352" t="e">
        <f>(IF(C142=0,0,B142/C142*D142)+IF(C141=0,0,B141/C141*D141))*0.024*G$147</f>
        <v>#N/A</v>
      </c>
      <c r="J56" s="627" t="e">
        <f>I56*($J$38/$I$38)</f>
        <v>#N/A</v>
      </c>
      <c r="K56" s="725" t="e">
        <f>I56*($K$35/$I$35)</f>
        <v>#N/A</v>
      </c>
      <c r="L56" s="352" t="e">
        <f>(IF(C142=0,0,B142/C142*D142)+IF(C141=0,0,B141/C141*D141))*0.024*H$147</f>
        <v>#N/A</v>
      </c>
      <c r="M56" s="726" t="e">
        <f>L56*($M$38/$L$38)</f>
        <v>#N/A</v>
      </c>
      <c r="N56" s="725" t="e">
        <f>L56*($N$38/$L$38)</f>
        <v>#N/A</v>
      </c>
      <c r="O56" s="352" t="e">
        <f>(IF(C142=0,0,B142/C142*D142)+IF(C141=0,0,B141/C141*D141))*0.024*I$147</f>
        <v>#N/A</v>
      </c>
      <c r="P56" s="728" t="e">
        <f>O56*($P$38/$O$38)</f>
        <v>#N/A</v>
      </c>
      <c r="Q56" s="729" t="e">
        <f>O56*($Q$38/$O$38)</f>
        <v>#N/A</v>
      </c>
      <c r="R56" s="352" t="e">
        <f>(IF(C142=0,0,B142/C142*D142)+IF(C141=0,0,B141/C141*D141))*0.024*J$147</f>
        <v>#N/A</v>
      </c>
      <c r="S56" s="728" t="e">
        <f>R56*($S$38/$R$38)</f>
        <v>#N/A</v>
      </c>
      <c r="T56" s="729" t="e">
        <f>R56*($T$38/$R$38)</f>
        <v>#N/A</v>
      </c>
      <c r="U56" s="352" t="e">
        <f>(IF(C142=0,0,B142/C142*D142)+IF(C141=0,0,B141/C141*D141))*0.024*K$147</f>
        <v>#N/A</v>
      </c>
      <c r="V56" s="728">
        <f>IFERROR(U56*($V$38/$U$38),0)</f>
        <v>0</v>
      </c>
      <c r="W56" s="729">
        <f>IFERROR(U56*($W$38/$U$38),0)</f>
        <v>0</v>
      </c>
      <c r="X56" s="352" t="e">
        <f>(IF(C142=0,0,B142/C142*D142)+IF(C141=0,0,B141/C141*D141))*0.024*L$147</f>
        <v>#N/A</v>
      </c>
      <c r="Y56" s="728">
        <f>IFERROR(X56*($Y$38/$X$38),0)</f>
        <v>0</v>
      </c>
      <c r="Z56" s="729">
        <f>IFERROR(X56*($Z$38/$X$38),0)</f>
        <v>0</v>
      </c>
      <c r="AA56" s="352" t="e">
        <f>(IF(C142=0,0,B142/C142*D142)+IF(C141=0,0,B141/C141*D141))*0.024*M$147</f>
        <v>#N/A</v>
      </c>
      <c r="AB56" s="728">
        <f>IFERROR(AA56*($AB$38/$AA$38),0)</f>
        <v>0</v>
      </c>
      <c r="AC56" s="729">
        <f>IFERROR(AA56*($AC$38/$AA$38),0)</f>
        <v>0</v>
      </c>
      <c r="AD56" s="352" t="e">
        <f>(IF(C142=0,0,B142/C142*D142)+IF(C141=0,0,B141/C141*D141))*0.024*N$147</f>
        <v>#N/A</v>
      </c>
      <c r="AE56" s="728">
        <f>IFERROR(AD56*($AE$38/$AD$38),0)</f>
        <v>0</v>
      </c>
      <c r="AF56" s="729">
        <f>IFERROR(AD56*($AF$35/$AD$35),)</f>
        <v>0</v>
      </c>
      <c r="AG56" s="352" t="e">
        <f>(IF(C142=0,0,B142/C142*D142)+IF(C141=0,0,B141/C141*D141))*0.024*O$147</f>
        <v>#N/A</v>
      </c>
      <c r="AH56" s="728">
        <f>IFERROR(AG56*($AH$38/$AG$38),0)</f>
        <v>0</v>
      </c>
      <c r="AI56" s="729">
        <f>IFERROR(AG56*($AI$35/$AG$35),0)</f>
        <v>0</v>
      </c>
      <c r="AJ56" s="352" t="e">
        <f>(IF(C142=0,0,B142/C142*D142)+IF(C141=0,0,B141/C141*D141))*0.024*P$147</f>
        <v>#N/A</v>
      </c>
      <c r="AK56" s="728" t="e">
        <f>AJ56*($AK$38/$AJ$38)</f>
        <v>#N/A</v>
      </c>
      <c r="AL56" s="729" t="e">
        <f>AJ56*($AL$38/$AJ$38)</f>
        <v>#N/A</v>
      </c>
      <c r="AM56" s="352" t="e">
        <f>(IF(C142=0,0,B142/C142*D142)+IF(C141=0,0,B141/C141*D141))*0.024*Q$147</f>
        <v>#N/A</v>
      </c>
      <c r="AN56" s="728" t="e">
        <f>AM56*($AN$38/$AM$38)</f>
        <v>#N/A</v>
      </c>
      <c r="AO56" s="729" t="e">
        <f>AM56*($AO$38/$AM$38)</f>
        <v>#N/A</v>
      </c>
      <c r="AP56" s="352" t="e">
        <f>(IF(C142=0,0,B142/C142*D142)+IF(C141=0,0,B141/C141*D141))*0.024*R$147</f>
        <v>#N/A</v>
      </c>
      <c r="AQ56" s="728" t="e">
        <f>AP56*($AQ$38/$AP$38)</f>
        <v>#N/A</v>
      </c>
      <c r="AR56" s="729" t="e">
        <f>AP56*($AR$38/$AP$38)</f>
        <v>#N/A</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25">
      <c r="A57" s="375" t="s">
        <v>874</v>
      </c>
      <c r="B57" s="376" t="s">
        <v>1184</v>
      </c>
      <c r="C57" s="575" t="e">
        <f>0.86*C56/1000</f>
        <v>#N/A</v>
      </c>
      <c r="D57" s="394" t="e">
        <f>0.86*D56/1000</f>
        <v>#N/A</v>
      </c>
      <c r="E57" s="693" t="e">
        <f>0.86*E56/1000</f>
        <v>#N/A</v>
      </c>
      <c r="F57" s="87"/>
      <c r="G57" s="396" t="s">
        <v>874</v>
      </c>
      <c r="H57" s="397" t="s">
        <v>1184</v>
      </c>
      <c r="I57" s="745" t="e">
        <f t="shared" ref="I57:O57" si="99">0.86*I56/1000</f>
        <v>#N/A</v>
      </c>
      <c r="J57" s="697" t="e">
        <f t="shared" si="99"/>
        <v>#N/A</v>
      </c>
      <c r="K57" s="730" t="e">
        <f t="shared" si="99"/>
        <v>#N/A</v>
      </c>
      <c r="L57" s="745" t="e">
        <f t="shared" ref="L57" si="100">0.86*L56/1000</f>
        <v>#N/A</v>
      </c>
      <c r="M57" s="700" t="e">
        <f t="shared" si="99"/>
        <v>#N/A</v>
      </c>
      <c r="N57" s="698" t="e">
        <f t="shared" si="99"/>
        <v>#N/A</v>
      </c>
      <c r="O57" s="745" t="e">
        <f t="shared" si="99"/>
        <v>#N/A</v>
      </c>
      <c r="P57" s="734" t="e">
        <f t="shared" si="46"/>
        <v>#N/A</v>
      </c>
      <c r="Q57" s="735" t="e">
        <f t="shared" ref="Q57" si="101">O57*($Q$35/$O$35)</f>
        <v>#N/A</v>
      </c>
      <c r="R57" s="745" t="e">
        <f t="shared" ref="R57" si="102">0.86*R56/1000</f>
        <v>#N/A</v>
      </c>
      <c r="S57" s="742" t="e">
        <f>0.86*S56/1000</f>
        <v>#N/A</v>
      </c>
      <c r="T57" s="743" t="e">
        <f>0.86*T56/1000</f>
        <v>#N/A</v>
      </c>
      <c r="U57" s="745" t="e">
        <f t="shared" ref="U57:W57" si="103">0.86*U56/1000</f>
        <v>#N/A</v>
      </c>
      <c r="V57" s="697">
        <f t="shared" si="103"/>
        <v>0</v>
      </c>
      <c r="W57" s="703">
        <f t="shared" si="103"/>
        <v>0</v>
      </c>
      <c r="X57" s="745" t="e">
        <f t="shared" ref="X57:Z57" si="104">0.86*X56/1000</f>
        <v>#N/A</v>
      </c>
      <c r="Y57" s="697">
        <f t="shared" si="104"/>
        <v>0</v>
      </c>
      <c r="Z57" s="703">
        <f t="shared" si="104"/>
        <v>0</v>
      </c>
      <c r="AA57" s="745" t="e">
        <f t="shared" ref="AA57:AC57" si="105">0.86*AA56/1000</f>
        <v>#N/A</v>
      </c>
      <c r="AB57" s="697">
        <f t="shared" si="105"/>
        <v>0</v>
      </c>
      <c r="AC57" s="703">
        <f t="shared" si="105"/>
        <v>0</v>
      </c>
      <c r="AD57" s="745" t="e">
        <f t="shared" ref="AD57:AF57" si="106">0.86*AD56/1000</f>
        <v>#N/A</v>
      </c>
      <c r="AE57" s="697">
        <f t="shared" si="106"/>
        <v>0</v>
      </c>
      <c r="AF57" s="703">
        <f t="shared" si="106"/>
        <v>0</v>
      </c>
      <c r="AG57" s="745" t="e">
        <f t="shared" ref="AG57:AH57" si="107">0.86*AG56/1000</f>
        <v>#N/A</v>
      </c>
      <c r="AH57" s="697">
        <f t="shared" si="107"/>
        <v>0</v>
      </c>
      <c r="AI57" s="703">
        <f>0.86*AI56/1000</f>
        <v>0</v>
      </c>
      <c r="AJ57" s="745" t="e">
        <f t="shared" ref="AJ57" si="108">0.86*AJ56/1000</f>
        <v>#N/A</v>
      </c>
      <c r="AK57" s="697" t="e">
        <f t="shared" ref="AK57" si="109">0.86*AK56/1000</f>
        <v>#N/A</v>
      </c>
      <c r="AL57" s="703" t="e">
        <f t="shared" ref="AL57:AM57" si="110">0.86*AL56/1000</f>
        <v>#N/A</v>
      </c>
      <c r="AM57" s="745" t="e">
        <f t="shared" si="110"/>
        <v>#N/A</v>
      </c>
      <c r="AN57" s="697" t="e">
        <f t="shared" ref="AN57" si="111">0.86*AN56/1000</f>
        <v>#N/A</v>
      </c>
      <c r="AO57" s="703" t="e">
        <f t="shared" ref="AO57:AP57" si="112">0.86*AO56/1000</f>
        <v>#N/A</v>
      </c>
      <c r="AP57" s="745" t="e">
        <f t="shared" si="112"/>
        <v>#N/A</v>
      </c>
      <c r="AQ57" s="697" t="e">
        <f t="shared" ref="AQ57" si="113">0.86*AQ56/1000</f>
        <v>#N/A</v>
      </c>
      <c r="AR57" s="703" t="e">
        <f t="shared" ref="AR57" si="114">0.86*AR56/1000</f>
        <v>#N/A</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75" thickBot="1" x14ac:dyDescent="0.3">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25">
      <c r="A59" s="349" t="s">
        <v>1205</v>
      </c>
      <c r="B59" s="339" t="s">
        <v>842</v>
      </c>
      <c r="C59" s="350" t="e">
        <f>IF(C143=0,0,B143/C143*D143)*0.024*$D$147</f>
        <v>#N/A</v>
      </c>
      <c r="D59" s="723" t="e">
        <f>C59*($D$38/$C$38)</f>
        <v>#N/A</v>
      </c>
      <c r="E59" s="724" t="e">
        <f>C59*($E$38/$C$38)</f>
        <v>#N/A</v>
      </c>
      <c r="F59" s="87"/>
      <c r="G59" s="351" t="s">
        <v>1205</v>
      </c>
      <c r="H59" s="343" t="s">
        <v>842</v>
      </c>
      <c r="I59" s="360" t="e">
        <f>IF($C143=0,0,$B143/$C143*$D143)*0.024*G$147</f>
        <v>#N/A</v>
      </c>
      <c r="J59" s="627" t="e">
        <f>I59*($J$38/$I$38)</f>
        <v>#N/A</v>
      </c>
      <c r="K59" s="725" t="e">
        <f>I59*($K$38/$I$38)</f>
        <v>#N/A</v>
      </c>
      <c r="L59" s="352" t="e">
        <f>IF($C143=0,0,$B143/$C143*$D143)*0.024*H$147</f>
        <v>#N/A</v>
      </c>
      <c r="M59" s="726" t="e">
        <f>L59*($M$38/$L$38)</f>
        <v>#N/A</v>
      </c>
      <c r="N59" s="725" t="e">
        <f>L59*($N$35/$L$35)</f>
        <v>#N/A</v>
      </c>
      <c r="O59" s="352" t="e">
        <f>IF($C143=0,0,$B143/$C143*$D143)*0.024*I$147</f>
        <v>#N/A</v>
      </c>
      <c r="P59" s="728" t="e">
        <f>O59*($P$38/$O$38)</f>
        <v>#N/A</v>
      </c>
      <c r="Q59" s="729" t="e">
        <f>O59*($Q$38/$O$38)</f>
        <v>#N/A</v>
      </c>
      <c r="R59" s="352" t="e">
        <f>IF($C143=0,0,$B143/$C143*$D143)*0.024*J$147</f>
        <v>#N/A</v>
      </c>
      <c r="S59" s="728" t="e">
        <f>R59*($S$38/$R$38)</f>
        <v>#N/A</v>
      </c>
      <c r="T59" s="729" t="e">
        <f>R59*($T$38/$R$38)</f>
        <v>#N/A</v>
      </c>
      <c r="U59" s="360" t="e">
        <f>IF($C143=0,0,$B143/$C143*$D143)*0.024*K$147</f>
        <v>#N/A</v>
      </c>
      <c r="V59" s="728">
        <f>IFERROR(U59*($V$38/$U$38),0)</f>
        <v>0</v>
      </c>
      <c r="W59" s="729">
        <f>IFERROR(U59*($W$38/$U$38),0)</f>
        <v>0</v>
      </c>
      <c r="X59" s="360" t="e">
        <f>IF($C143=0,0,$B143/$C143*$D143)*0.024*L$147</f>
        <v>#N/A</v>
      </c>
      <c r="Y59" s="728">
        <f>IFERROR(X59*($Y$38/$X$38),0)</f>
        <v>0</v>
      </c>
      <c r="Z59" s="729">
        <f>IFERROR(X59*($Z$38/$X$38),0)</f>
        <v>0</v>
      </c>
      <c r="AA59" s="360" t="e">
        <f>IF($C143=0,0,$B143/$C143*$D143)*0.024*M$147</f>
        <v>#N/A</v>
      </c>
      <c r="AB59" s="728">
        <f>IFERROR(AA59*($AB$38/$AA$38),0)</f>
        <v>0</v>
      </c>
      <c r="AC59" s="729">
        <f>IFERROR(AA59*($AC$38/$AA$38),0)</f>
        <v>0</v>
      </c>
      <c r="AD59" s="360" t="e">
        <f>IF($C143=0,0,$B143/$C143*$D143)*0.024*N$147</f>
        <v>#N/A</v>
      </c>
      <c r="AE59" s="728">
        <f>IFERROR(AD59*($AE$38/$AD$38),)</f>
        <v>0</v>
      </c>
      <c r="AF59" s="729">
        <f>IFERROR(AD59*($AF$35/$AD$35),)</f>
        <v>0</v>
      </c>
      <c r="AG59" s="360" t="e">
        <f>IF($C143=0,0,$B143/$C143*$D143)*0.024*O$147</f>
        <v>#N/A</v>
      </c>
      <c r="AH59" s="728">
        <f>IFERROR(AG59*($AH$38/$AG$38),)</f>
        <v>0</v>
      </c>
      <c r="AI59" s="729">
        <f>IFERROR(AG59*($AI$35/$AG$35),0)</f>
        <v>0</v>
      </c>
      <c r="AJ59" s="352" t="e">
        <f>IF($C143=0,0,$B143/$C143*$D143)*0.024*P$147</f>
        <v>#N/A</v>
      </c>
      <c r="AK59" s="728" t="e">
        <f>AJ59*($AK$38/$AJ$38)</f>
        <v>#N/A</v>
      </c>
      <c r="AL59" s="729" t="e">
        <f>AJ59*($AL$38/$AJ$38)</f>
        <v>#N/A</v>
      </c>
      <c r="AM59" s="352" t="e">
        <f>IF($C143=0,0,$B143/$C143*$D143)*0.024*Q$147</f>
        <v>#N/A</v>
      </c>
      <c r="AN59" s="728" t="e">
        <f>AM59*($AN$38/$AM$38)</f>
        <v>#N/A</v>
      </c>
      <c r="AO59" s="729" t="e">
        <f>AM59*($AO$38/$AM$38)</f>
        <v>#N/A</v>
      </c>
      <c r="AP59" s="352" t="e">
        <f>IF($C143=0,0,$B143/$C143*$D143)*0.024*R$147</f>
        <v>#N/A</v>
      </c>
      <c r="AQ59" s="728" t="e">
        <f>AP59*($AQ$38/$AP$38)</f>
        <v>#N/A</v>
      </c>
      <c r="AR59" s="729" t="e">
        <f>AP59*($AR$38/$AP$38)</f>
        <v>#N/A</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25">
      <c r="A60" s="375" t="s">
        <v>874</v>
      </c>
      <c r="B60" s="376" t="s">
        <v>1184</v>
      </c>
      <c r="C60" s="748"/>
      <c r="D60" s="394" t="e">
        <f>0.86*D59/1000</f>
        <v>#N/A</v>
      </c>
      <c r="E60" s="693" t="e">
        <f>0.86*E59/1000</f>
        <v>#N/A</v>
      </c>
      <c r="F60" s="87"/>
      <c r="G60" s="396" t="s">
        <v>874</v>
      </c>
      <c r="H60" s="397" t="s">
        <v>1184</v>
      </c>
      <c r="I60" s="745" t="e">
        <f t="shared" ref="I60:W60" si="115">0.86*I59/1000</f>
        <v>#N/A</v>
      </c>
      <c r="J60" s="697" t="e">
        <f t="shared" si="115"/>
        <v>#N/A</v>
      </c>
      <c r="K60" s="730" t="e">
        <f t="shared" si="115"/>
        <v>#N/A</v>
      </c>
      <c r="L60" s="745" t="e">
        <f t="shared" ref="L60" si="116">0.86*L59/1000</f>
        <v>#N/A</v>
      </c>
      <c r="M60" s="700" t="e">
        <f t="shared" si="115"/>
        <v>#N/A</v>
      </c>
      <c r="N60" s="698" t="e">
        <f t="shared" si="115"/>
        <v>#N/A</v>
      </c>
      <c r="O60" s="745" t="e">
        <f t="shared" si="115"/>
        <v>#N/A</v>
      </c>
      <c r="P60" s="700" t="e">
        <f t="shared" si="115"/>
        <v>#N/A</v>
      </c>
      <c r="Q60" s="698" t="e">
        <f t="shared" si="115"/>
        <v>#N/A</v>
      </c>
      <c r="R60" s="745" t="e">
        <f t="shared" si="115"/>
        <v>#N/A</v>
      </c>
      <c r="S60" s="742" t="e">
        <f t="shared" si="115"/>
        <v>#N/A</v>
      </c>
      <c r="T60" s="743" t="e">
        <f t="shared" si="115"/>
        <v>#N/A</v>
      </c>
      <c r="U60" s="745" t="e">
        <f t="shared" si="115"/>
        <v>#N/A</v>
      </c>
      <c r="V60" s="697">
        <f t="shared" si="115"/>
        <v>0</v>
      </c>
      <c r="W60" s="703">
        <f t="shared" si="115"/>
        <v>0</v>
      </c>
      <c r="X60" s="745" t="e">
        <f t="shared" ref="X60:Z60" si="117">0.86*X59/1000</f>
        <v>#N/A</v>
      </c>
      <c r="Y60" s="697">
        <f t="shared" si="117"/>
        <v>0</v>
      </c>
      <c r="Z60" s="703">
        <f t="shared" si="117"/>
        <v>0</v>
      </c>
      <c r="AA60" s="745" t="e">
        <f t="shared" ref="AA60:AC60" si="118">0.86*AA59/1000</f>
        <v>#N/A</v>
      </c>
      <c r="AB60" s="697">
        <f t="shared" si="118"/>
        <v>0</v>
      </c>
      <c r="AC60" s="703">
        <f t="shared" si="118"/>
        <v>0</v>
      </c>
      <c r="AD60" s="745" t="e">
        <f t="shared" ref="AD60:AF60" si="119">0.86*AD59/1000</f>
        <v>#N/A</v>
      </c>
      <c r="AE60" s="697">
        <f t="shared" si="119"/>
        <v>0</v>
      </c>
      <c r="AF60" s="703">
        <f t="shared" si="119"/>
        <v>0</v>
      </c>
      <c r="AG60" s="745" t="e">
        <f t="shared" ref="AG60:AH60" si="120">0.86*AG59/1000</f>
        <v>#N/A</v>
      </c>
      <c r="AH60" s="697">
        <f t="shared" si="120"/>
        <v>0</v>
      </c>
      <c r="AI60" s="703">
        <f>0.86*AI59/1000</f>
        <v>0</v>
      </c>
      <c r="AJ60" s="745" t="e">
        <f t="shared" ref="AJ60" si="121">0.86*AJ59/1000</f>
        <v>#N/A</v>
      </c>
      <c r="AK60" s="697" t="e">
        <f t="shared" ref="AK60" si="122">0.86*AK59/1000</f>
        <v>#N/A</v>
      </c>
      <c r="AL60" s="703" t="e">
        <f t="shared" ref="AL60:AM60" si="123">0.86*AL59/1000</f>
        <v>#N/A</v>
      </c>
      <c r="AM60" s="745" t="e">
        <f t="shared" si="123"/>
        <v>#N/A</v>
      </c>
      <c r="AN60" s="697" t="e">
        <f t="shared" ref="AN60" si="124">0.86*AN59/1000</f>
        <v>#N/A</v>
      </c>
      <c r="AO60" s="703" t="e">
        <f t="shared" ref="AO60:AP60" si="125">0.86*AO59/1000</f>
        <v>#N/A</v>
      </c>
      <c r="AP60" s="745" t="e">
        <f t="shared" si="125"/>
        <v>#N/A</v>
      </c>
      <c r="AQ60" s="697" t="e">
        <f t="shared" ref="AQ60" si="126">0.86*AQ59/1000</f>
        <v>#N/A</v>
      </c>
      <c r="AR60" s="703" t="e">
        <f t="shared" ref="AR60" si="127">0.86*AR59/1000</f>
        <v>#N/A</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75" thickBot="1" x14ac:dyDescent="0.3">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25">
      <c r="A62" s="346" t="s">
        <v>1198</v>
      </c>
      <c r="B62" s="339" t="s">
        <v>842</v>
      </c>
      <c r="C62" s="341" t="e">
        <f>(D151*D152*'Ввод исходных данных'!$D$21*0.28)*D147*0.024+D154*D192+D161</f>
        <v>#N/A</v>
      </c>
      <c r="D62" s="689" t="e">
        <f>C62*(($D$35+$D$71)/($C$35+$C$71))</f>
        <v>#N/A</v>
      </c>
      <c r="E62" s="689" t="e">
        <f>$C62*(($E$35+$E$71)/($C$35+$C$71))</f>
        <v>#N/A</v>
      </c>
      <c r="F62" s="87"/>
      <c r="G62" s="361" t="s">
        <v>1198</v>
      </c>
      <c r="H62" s="343" t="s">
        <v>842</v>
      </c>
      <c r="I62" s="345" t="e">
        <f>($D$151*$D$152*'Ввод исходных данных'!$D$21*0.28)*G$147*0.024+G192*$D$154+G161</f>
        <v>#N/A</v>
      </c>
      <c r="J62" s="689" t="e">
        <f>I62*((J$35+J$71)/(I$35+I$71))</f>
        <v>#N/A</v>
      </c>
      <c r="K62" s="689">
        <f>IFERROR(I62*((K$35+K$71)/(I$35+I$71)),0)</f>
        <v>0</v>
      </c>
      <c r="L62" s="345" t="e">
        <f>($D$151*$D$152*'Ввод исходных данных'!$D$21*0.28)*H$147*0.024+H192*$D$154+H161</f>
        <v>#N/A</v>
      </c>
      <c r="M62" s="689" t="e">
        <f>L62*((M$35+M$71)/(L$35+L$71))</f>
        <v>#N/A</v>
      </c>
      <c r="N62" s="689">
        <f>IFERROR(L62*((N$35+N$71)/(L$35+L$71)),0)</f>
        <v>0</v>
      </c>
      <c r="O62" s="345" t="e">
        <f>($D$151*$D$152*'Ввод исходных данных'!$D$21*0.28)*I$147*0.024+I192*$D$154+I161</f>
        <v>#N/A</v>
      </c>
      <c r="P62" s="689" t="e">
        <f>O62*((P$35+P$71)/(O$35+O$71))</f>
        <v>#N/A</v>
      </c>
      <c r="Q62" s="689">
        <f>IFERROR(O62*((Q$35+Q$71)/(O$35+O$71)),0)</f>
        <v>0</v>
      </c>
      <c r="R62" s="345" t="e">
        <f>($D$151*$D$152*'Ввод исходных данных'!$D$21*0.28)*J$147*0.024+J192*$D$154+J161</f>
        <v>#N/A</v>
      </c>
      <c r="S62" s="689" t="e">
        <f>R62*((S$35+S$71)/(R$35+R$71))</f>
        <v>#N/A</v>
      </c>
      <c r="T62" s="689">
        <f>IFERROR(R62*((T$35+T$71)/(R$35+R$71)),0)</f>
        <v>0</v>
      </c>
      <c r="U62" s="345" t="e">
        <f>($D$151*$D$152*'Ввод исходных данных'!$D$21*0.28)*K$147*0.024+K192*$D$154+K161</f>
        <v>#N/A</v>
      </c>
      <c r="V62" s="689">
        <f>IFERROR(U62*((V$35+V$71)/(U$35+U$71)),0)</f>
        <v>0</v>
      </c>
      <c r="W62" s="689">
        <f>IFERROR(U62*((W$35+W$71)/(U$35+U$71)),0)</f>
        <v>0</v>
      </c>
      <c r="X62" s="345" t="e">
        <f>($D$151*$D$152*'Ввод исходных данных'!$D$21*0.28)*L$147*0.024+L192*$D$154+L161</f>
        <v>#N/A</v>
      </c>
      <c r="Y62" s="689">
        <f>IFERROR(X62*((Y$35+Y$71)/(X$35+X$71)),0)</f>
        <v>0</v>
      </c>
      <c r="Z62" s="689">
        <f>IFERROR(X62*((Z$35+Z$71)/(X$35+X$71)),0)</f>
        <v>0</v>
      </c>
      <c r="AA62" s="345" t="e">
        <f>($D$151*$D$152*'Ввод исходных данных'!$D$21*0.28)*M$147*0.024+M192*$D$154+M161</f>
        <v>#N/A</v>
      </c>
      <c r="AB62" s="689">
        <f>IFERROR(AA62*((AB$35+AB$71)/(AA$35+AA$71)),0)</f>
        <v>0</v>
      </c>
      <c r="AC62" s="689">
        <f>IFERROR(AA62*((AC$35+AC$71)/(AA$35+AA$71)),0)</f>
        <v>0</v>
      </c>
      <c r="AD62" s="345" t="e">
        <f>($D$151*$D$152*'Ввод исходных данных'!$D$21*0.28)*N$147*0.024+N192*$D$154+N161</f>
        <v>#N/A</v>
      </c>
      <c r="AE62" s="689">
        <f>IFERROR(AD62*((AE$35+AE$71)/(AD$35+AD$71)),0)</f>
        <v>0</v>
      </c>
      <c r="AF62" s="689">
        <f>IFERROR(AD62*((AF$35+AF$71)/(AD$35+AD$71)),0)</f>
        <v>0</v>
      </c>
      <c r="AG62" s="345" t="e">
        <f>($D$151*$D$152*'Ввод исходных данных'!$D$21*0.28)*O$147*0.024+O192*$D$154+O161</f>
        <v>#N/A</v>
      </c>
      <c r="AH62" s="689">
        <f>IFERROR(AG62*((AH$35+AH$71)/(AG$35+AG$71)),0)</f>
        <v>0</v>
      </c>
      <c r="AI62" s="689">
        <f>IFERROR(AG62*((AI$35+AI$71)/(AG$35+AG$71)),0)</f>
        <v>0</v>
      </c>
      <c r="AJ62" s="345" t="e">
        <f>($D$151*$D$152*'Ввод исходных данных'!$D$21*0.28)*P$147*0.024+P192*$D$154+P161</f>
        <v>#N/A</v>
      </c>
      <c r="AK62" s="689">
        <f>IFERROR(AJ62*((AK$35+AK$71)/(AJ$35+AJ$71)),0)</f>
        <v>0</v>
      </c>
      <c r="AL62" s="689">
        <f>IFERROR(AJ62*((AL$35+AL$71)/(AJ$35+AJ$71)),0)</f>
        <v>0</v>
      </c>
      <c r="AM62" s="345" t="e">
        <f>($D$151*$D$152*'Ввод исходных данных'!$D$21*0.28)*Q$147*0.024+Q192*$D$154+Q161</f>
        <v>#N/A</v>
      </c>
      <c r="AN62" s="689">
        <f>IFERROR(AM62*((AN$35+AN$71)/(AM$35+AM$71)),0)</f>
        <v>0</v>
      </c>
      <c r="AO62" s="689">
        <f>IFERROR(AM62*((AO$35+AO$71)/(AM$35+AM$71)),0)</f>
        <v>0</v>
      </c>
      <c r="AP62" s="345" t="e">
        <f>($D$151*$D$152*'Ввод исходных данных'!$D$21*0.28)*R$147*0.024+R192*$D$154+R161</f>
        <v>#N/A</v>
      </c>
      <c r="AQ62" s="689">
        <f>IFERROR(AP62*((AQ$35+AQ$71)/(AP$35+AP$71)),0)</f>
        <v>0</v>
      </c>
      <c r="AR62" s="689">
        <f>IFERROR(AP62*((AR$35+AR$71)/(AP$35+AP$71)),0)</f>
        <v>0</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25">
      <c r="A63" s="375" t="s">
        <v>874</v>
      </c>
      <c r="B63" s="376" t="s">
        <v>1184</v>
      </c>
      <c r="C63" s="675" t="e">
        <f>0.86*C62/1000</f>
        <v>#N/A</v>
      </c>
      <c r="D63" s="394" t="e">
        <f>0.86*D62/1000</f>
        <v>#N/A</v>
      </c>
      <c r="E63" s="749" t="e">
        <f>0.86*E62/1000</f>
        <v>#N/A</v>
      </c>
      <c r="F63" s="87"/>
      <c r="G63" s="396" t="s">
        <v>874</v>
      </c>
      <c r="H63" s="397" t="s">
        <v>1184</v>
      </c>
      <c r="I63" s="745" t="e">
        <f t="shared" ref="I63:O63" si="128">0.86*I62/1000</f>
        <v>#N/A</v>
      </c>
      <c r="J63" s="697" t="e">
        <f t="shared" si="128"/>
        <v>#N/A</v>
      </c>
      <c r="K63" s="730">
        <f t="shared" si="128"/>
        <v>0</v>
      </c>
      <c r="L63" s="750" t="e">
        <f t="shared" si="128"/>
        <v>#N/A</v>
      </c>
      <c r="M63" s="700" t="e">
        <f t="shared" si="128"/>
        <v>#N/A</v>
      </c>
      <c r="N63" s="698">
        <f t="shared" si="128"/>
        <v>0</v>
      </c>
      <c r="O63" s="387" t="e">
        <f t="shared" si="128"/>
        <v>#N/A</v>
      </c>
      <c r="P63" s="734" t="e">
        <f t="shared" ref="P63:P66" si="129">O63*($P$35/$O$35)</f>
        <v>#N/A</v>
      </c>
      <c r="Q63" s="735" t="e">
        <f t="shared" ref="Q63" si="130">O63*($Q$35/$O$35)</f>
        <v>#N/A</v>
      </c>
      <c r="R63" s="702" t="e">
        <f>0.86*R62/1000</f>
        <v>#N/A</v>
      </c>
      <c r="S63" s="742" t="e">
        <f>0.86*S62/1000</f>
        <v>#N/A</v>
      </c>
      <c r="T63" s="743">
        <f>0.86*T62/1000</f>
        <v>0</v>
      </c>
      <c r="U63" s="387" t="e">
        <f>0.86*U62/1000</f>
        <v>#N/A</v>
      </c>
      <c r="V63" s="697">
        <f t="shared" ref="V63:W63" si="131">0.86*V62/1000</f>
        <v>0</v>
      </c>
      <c r="W63" s="703">
        <f t="shared" si="131"/>
        <v>0</v>
      </c>
      <c r="X63" s="387" t="e">
        <f>0.86*X62/1000</f>
        <v>#N/A</v>
      </c>
      <c r="Y63" s="697">
        <f t="shared" ref="Y63:Z63" si="132">0.86*Y62/1000</f>
        <v>0</v>
      </c>
      <c r="Z63" s="703">
        <f t="shared" si="132"/>
        <v>0</v>
      </c>
      <c r="AA63" s="387" t="e">
        <f>0.86*AA62/1000</f>
        <v>#N/A</v>
      </c>
      <c r="AB63" s="697">
        <f t="shared" ref="AB63:AC63" si="133">0.86*AB62/1000</f>
        <v>0</v>
      </c>
      <c r="AC63" s="703">
        <f t="shared" si="133"/>
        <v>0</v>
      </c>
      <c r="AD63" s="387" t="e">
        <f>0.86*AD62/1000</f>
        <v>#N/A</v>
      </c>
      <c r="AE63" s="697">
        <f t="shared" ref="AE63:AF63" si="134">0.86*AE62/1000</f>
        <v>0</v>
      </c>
      <c r="AF63" s="703">
        <f t="shared" si="134"/>
        <v>0</v>
      </c>
      <c r="AG63" s="387" t="e">
        <f>0.86*AG62/1000</f>
        <v>#N/A</v>
      </c>
      <c r="AH63" s="697">
        <f t="shared" ref="AH63" si="135">0.86*AH62/1000</f>
        <v>0</v>
      </c>
      <c r="AI63" s="703">
        <f>0.86*AI62/1000</f>
        <v>0</v>
      </c>
      <c r="AJ63" s="699" t="e">
        <f>0.86*AJ62/1000</f>
        <v>#N/A</v>
      </c>
      <c r="AK63" s="697">
        <f t="shared" ref="AK63" si="136">0.86*AK62/1000</f>
        <v>0</v>
      </c>
      <c r="AL63" s="703">
        <f t="shared" ref="AL63" si="137">0.86*AL62/1000</f>
        <v>0</v>
      </c>
      <c r="AM63" s="702" t="e">
        <f>0.86*AM62/1000</f>
        <v>#N/A</v>
      </c>
      <c r="AN63" s="697">
        <f t="shared" ref="AN63" si="138">0.86*AN62/1000</f>
        <v>0</v>
      </c>
      <c r="AO63" s="703">
        <f t="shared" ref="AO63" si="139">0.86*AO62/1000</f>
        <v>0</v>
      </c>
      <c r="AP63" s="702" t="e">
        <f>0.86*AP62/1000</f>
        <v>#N/A</v>
      </c>
      <c r="AQ63" s="697">
        <f t="shared" ref="AQ63" si="140">0.86*AQ62/1000</f>
        <v>0</v>
      </c>
      <c r="AR63" s="703">
        <f t="shared" ref="AR63" si="141">0.86*AR62/1000</f>
        <v>0</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75" thickBot="1" x14ac:dyDescent="0.3">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25">
      <c r="A65" s="688" t="s">
        <v>1206</v>
      </c>
      <c r="B65" s="667" t="s">
        <v>842</v>
      </c>
      <c r="C65" s="341" t="e">
        <f>(C62+C38-C71*$D$156)*($D$158-1)</f>
        <v>#N/A</v>
      </c>
      <c r="D65" s="689" t="e">
        <f>C65*(($D$35+$D$71)/($C$35+$C$71))</f>
        <v>#N/A</v>
      </c>
      <c r="E65" s="689" t="e">
        <f>$C65*(($E$35+$E$71)/($C$35+$C$71))</f>
        <v>#N/A</v>
      </c>
      <c r="F65" s="87"/>
      <c r="G65" s="752" t="s">
        <v>1206</v>
      </c>
      <c r="H65" s="753" t="s">
        <v>842</v>
      </c>
      <c r="I65" s="364" t="e">
        <f>(I62+I38-I71*$D$156)*($D$158-1)</f>
        <v>#N/A</v>
      </c>
      <c r="J65" s="689" t="e">
        <f>I65*((J$35+J$71)/(I$35+I$71))</f>
        <v>#N/A</v>
      </c>
      <c r="K65" s="689">
        <f>IFERROR(I65*((K$35+K$71)/(I$35+I$71)),0)</f>
        <v>0</v>
      </c>
      <c r="L65" s="366" t="e">
        <f>(L62+L38-L71*$D$156)*($D$158-1)</f>
        <v>#N/A</v>
      </c>
      <c r="M65" s="689" t="e">
        <f>L65*((M$35+M$71)/(L$35+L$71))</f>
        <v>#N/A</v>
      </c>
      <c r="N65" s="689">
        <f>IFERROR(L65*((N$35+N$71)/(L$35+L$71)),0)</f>
        <v>0</v>
      </c>
      <c r="O65" s="754" t="e">
        <f>(O62+O38-O71*$D$156)*($D$158-1)</f>
        <v>#N/A</v>
      </c>
      <c r="P65" s="689" t="e">
        <f>O65*((P$35+P$71)/(O$35+O$71))</f>
        <v>#N/A</v>
      </c>
      <c r="Q65" s="689">
        <f>IFERROR(O65*((Q$35+Q$71)/(O$35+O$71)),0)</f>
        <v>0</v>
      </c>
      <c r="R65" s="754" t="e">
        <f>(R62+R38-R71*$D$156)*($D$158-1)</f>
        <v>#N/A</v>
      </c>
      <c r="S65" s="689" t="e">
        <f>R65*((S$35+S$71)/(R$35+R$71))</f>
        <v>#N/A</v>
      </c>
      <c r="T65" s="689">
        <f>IFERROR(R65*((T$35+T$71)/(R$35+R$71)),0)</f>
        <v>0</v>
      </c>
      <c r="U65" s="391" t="e">
        <f>(U62+U38-U71*$D$156)*($D$158-1)</f>
        <v>#N/A</v>
      </c>
      <c r="V65" s="689">
        <f>IFERROR(U65*((V$35+V$71)/(U$35+U$71)),0)</f>
        <v>0</v>
      </c>
      <c r="W65" s="689">
        <f>IFERROR(U65*((W$35+W$71)/(U$35+U$71)),0)</f>
        <v>0</v>
      </c>
      <c r="X65" s="755" t="e">
        <f>(X62+X38-X71*$D$156)*($D$158-1)</f>
        <v>#N/A</v>
      </c>
      <c r="Y65" s="689">
        <f>IFERROR(X65*((Y$35+Y$71)/(X$35+X$71)),0)</f>
        <v>0</v>
      </c>
      <c r="Z65" s="689">
        <f>IFERROR(X65*((Z$35+Z$71)/(X$35+X$71)),0)</f>
        <v>0</v>
      </c>
      <c r="AA65" s="756" t="e">
        <f>(AA62+AA38-AA71*$D$156)*($D$158-1)</f>
        <v>#N/A</v>
      </c>
      <c r="AB65" s="689">
        <f>IFERROR(AA65*((AB$35+AB$71)/(AA$35+AA$71)),0)</f>
        <v>0</v>
      </c>
      <c r="AC65" s="689">
        <f>IFERROR(AA65*((AC$35+AC$71)/(AA$35+AA$71)),0)</f>
        <v>0</v>
      </c>
      <c r="AD65" s="756" t="e">
        <f>(AD62+AD38-AD71*$D$156)*($D$158-1)</f>
        <v>#N/A</v>
      </c>
      <c r="AE65" s="689">
        <f>IFERROR(AD65*((AE$35+AE$71)/(AD$35+AD$71)),0)</f>
        <v>0</v>
      </c>
      <c r="AF65" s="689">
        <f>IFERROR(AD65*((AF$35+AF$71)/(AD$35+AD$71)),0)</f>
        <v>0</v>
      </c>
      <c r="AG65" s="756" t="e">
        <f>(AG62+AG38-AG71*$D$156)*($D$158-1)</f>
        <v>#N/A</v>
      </c>
      <c r="AH65" s="689">
        <f>IFERROR(AG65*((AH$35+AH$71)/(AG$35+AG$71)),0)</f>
        <v>0</v>
      </c>
      <c r="AI65" s="689">
        <f>IFERROR(AG65*((AI$35+AI$71)/(AG$35+AG$71)),0)</f>
        <v>0</v>
      </c>
      <c r="AJ65" s="754" t="e">
        <f>(AJ62+AJ38-AJ71*$D$156)*($D$158-1)</f>
        <v>#N/A</v>
      </c>
      <c r="AK65" s="689">
        <f>IFERROR(AJ65*((AK$35+AK$71)/(AJ$35+AJ$71)),0)</f>
        <v>0</v>
      </c>
      <c r="AL65" s="689">
        <f>IFERROR(AJ65*((AL$35+AL$71)/(AJ$35+AJ$71)),0)</f>
        <v>0</v>
      </c>
      <c r="AM65" s="364" t="e">
        <f>(AM62+AM38-AM71*$D$156)*($D$158-1)</f>
        <v>#N/A</v>
      </c>
      <c r="AN65" s="689">
        <f>IFERROR(AM65*((AN$35+AN$71)/(AM$35+AM$71)),0)</f>
        <v>0</v>
      </c>
      <c r="AO65" s="689">
        <f>IFERROR(AM65*((AO$35+AO$71)/(AM$35+AM$71)),0)</f>
        <v>0</v>
      </c>
      <c r="AP65" s="757" t="e">
        <f>(AP62+AP38-AP71*$D$156)*($D$158-1)</f>
        <v>#N/A</v>
      </c>
      <c r="AQ65" s="689">
        <f>IFERROR(AP65*((AQ$35+AQ$71)/(AP$35+AP$71)),0)</f>
        <v>0</v>
      </c>
      <c r="AR65" s="689">
        <f>IFERROR(AP65*((AR$35+AR$71)/(AP$35+AP$71)),0)</f>
        <v>0</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25">
      <c r="A66" s="375" t="s">
        <v>874</v>
      </c>
      <c r="B66" s="376" t="s">
        <v>1184</v>
      </c>
      <c r="C66" s="675" t="e">
        <f>0.86*C65/1000</f>
        <v>#N/A</v>
      </c>
      <c r="D66" s="394" t="e">
        <f>0.86*D65/1000</f>
        <v>#N/A</v>
      </c>
      <c r="E66" s="749" t="e">
        <f>0.86*E65/1000</f>
        <v>#N/A</v>
      </c>
      <c r="F66" s="87"/>
      <c r="G66" s="396" t="s">
        <v>874</v>
      </c>
      <c r="H66" s="397" t="s">
        <v>1184</v>
      </c>
      <c r="I66" s="740" t="e">
        <f t="shared" ref="I66:O66" si="142">0.86*I65/1000</f>
        <v>#N/A</v>
      </c>
      <c r="J66" s="697" t="e">
        <f t="shared" si="142"/>
        <v>#N/A</v>
      </c>
      <c r="K66" s="741">
        <f t="shared" si="142"/>
        <v>0</v>
      </c>
      <c r="L66" s="758" t="e">
        <f t="shared" si="142"/>
        <v>#N/A</v>
      </c>
      <c r="M66" s="700" t="e">
        <f t="shared" si="142"/>
        <v>#N/A</v>
      </c>
      <c r="N66" s="698">
        <f t="shared" si="142"/>
        <v>0</v>
      </c>
      <c r="O66" s="745" t="e">
        <f t="shared" si="142"/>
        <v>#N/A</v>
      </c>
      <c r="P66" s="734" t="e">
        <f t="shared" si="129"/>
        <v>#N/A</v>
      </c>
      <c r="Q66" s="735" t="e">
        <f t="shared" ref="Q66" si="143">O66*($Q$35/$O$35)</f>
        <v>#N/A</v>
      </c>
      <c r="R66" s="759" t="e">
        <f>0.86*R65/1000</f>
        <v>#N/A</v>
      </c>
      <c r="S66" s="742" t="e">
        <f>0.86*S65/1000</f>
        <v>#N/A</v>
      </c>
      <c r="T66" s="743">
        <f>0.86*T65/1000</f>
        <v>0</v>
      </c>
      <c r="U66" s="702" t="e">
        <f>0.86*U65/1000</f>
        <v>#N/A</v>
      </c>
      <c r="V66" s="697">
        <f t="shared" ref="V66:W66" si="144">0.86*V65/1000</f>
        <v>0</v>
      </c>
      <c r="W66" s="703">
        <f t="shared" si="144"/>
        <v>0</v>
      </c>
      <c r="X66" s="760" t="e">
        <f>0.86*X65/1000</f>
        <v>#N/A</v>
      </c>
      <c r="Y66" s="697">
        <f t="shared" ref="Y66:Z66" si="145">0.86*Y65/1000</f>
        <v>0</v>
      </c>
      <c r="Z66" s="703">
        <f t="shared" si="145"/>
        <v>0</v>
      </c>
      <c r="AA66" s="387" t="e">
        <f>0.86*AA65/1000</f>
        <v>#N/A</v>
      </c>
      <c r="AB66" s="697">
        <f t="shared" ref="AB66:AC66" si="146">0.86*AB65/1000</f>
        <v>0</v>
      </c>
      <c r="AC66" s="703">
        <f t="shared" si="146"/>
        <v>0</v>
      </c>
      <c r="AD66" s="387" t="e">
        <f>0.86*AD65/1000</f>
        <v>#N/A</v>
      </c>
      <c r="AE66" s="697">
        <f t="shared" ref="AE66:AF66" si="147">0.86*AE65/1000</f>
        <v>0</v>
      </c>
      <c r="AF66" s="703">
        <f t="shared" si="147"/>
        <v>0</v>
      </c>
      <c r="AG66" s="387" t="e">
        <f>0.86*AG65/1000</f>
        <v>#N/A</v>
      </c>
      <c r="AH66" s="697">
        <f t="shared" ref="AH66" si="148">0.86*AH65/1000</f>
        <v>0</v>
      </c>
      <c r="AI66" s="703">
        <f>0.86*AI65/1000</f>
        <v>0</v>
      </c>
      <c r="AJ66" s="740" t="e">
        <f t="shared" ref="AJ66" si="149">0.86*AJ65/1000</f>
        <v>#N/A</v>
      </c>
      <c r="AK66" s="697">
        <f t="shared" ref="AK66" si="150">0.86*AK65/1000</f>
        <v>0</v>
      </c>
      <c r="AL66" s="741">
        <f t="shared" ref="AL66" si="151">0.86*AL65/1000</f>
        <v>0</v>
      </c>
      <c r="AM66" s="699" t="e">
        <f>0.86*AM65/1000</f>
        <v>#N/A</v>
      </c>
      <c r="AN66" s="697">
        <f t="shared" ref="AN66" si="152">0.86*AN65/1000</f>
        <v>0</v>
      </c>
      <c r="AO66" s="703">
        <f t="shared" ref="AO66" si="153">0.86*AO65/1000</f>
        <v>0</v>
      </c>
      <c r="AP66" s="705" t="e">
        <f>0.86*AP65/1000</f>
        <v>#N/A</v>
      </c>
      <c r="AQ66" s="697">
        <f t="shared" ref="AQ66" si="154">0.86*AQ65/1000</f>
        <v>0</v>
      </c>
      <c r="AR66" s="703">
        <f t="shared" ref="AR66" si="155">0.86*AR65/1000</f>
        <v>0</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
      <c r="A67" s="402" t="s">
        <v>874</v>
      </c>
      <c r="B67" s="403" t="s">
        <v>1181</v>
      </c>
      <c r="C67" s="637"/>
      <c r="D67" s="707"/>
      <c r="E67" s="751" t="e">
        <f>(E65/$E$35)*100</f>
        <v>#N/A</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25">
      <c r="A68" s="688" t="s">
        <v>1200</v>
      </c>
      <c r="B68" s="667" t="s">
        <v>842</v>
      </c>
      <c r="C68" s="365" t="e">
        <f>C71*(1-$D$156)</f>
        <v>#DIV/0!</v>
      </c>
      <c r="D68" s="689" t="e">
        <f>C68*(($D$35+$D$71)/($C$35+$C$71))</f>
        <v>#DIV/0!</v>
      </c>
      <c r="E68" s="689" t="e">
        <f>$C68*(($E$35+$E$71)/($C$35+$C$71))</f>
        <v>#DIV/0!</v>
      </c>
      <c r="F68" s="87"/>
      <c r="G68" s="752" t="s">
        <v>1200</v>
      </c>
      <c r="H68" s="753" t="s">
        <v>842</v>
      </c>
      <c r="I68" s="344" t="e">
        <f>I71*(1-$D$156)</f>
        <v>#DIV/0!</v>
      </c>
      <c r="J68" s="689" t="e">
        <f>I68*((J$35+J$71)/(I$35+I$71))</f>
        <v>#DIV/0!</v>
      </c>
      <c r="K68" s="689">
        <f>IFERROR(I68*((K$35+K$71)/(I$35+I$71)),0)</f>
        <v>0</v>
      </c>
      <c r="L68" s="366" t="e">
        <f>L71*(1-$D$156)</f>
        <v>#DIV/0!</v>
      </c>
      <c r="M68" s="689" t="e">
        <f>L68*((M$35+M$71)/(L$35+L$71))</f>
        <v>#DIV/0!</v>
      </c>
      <c r="N68" s="689">
        <f>IFERROR(L68*((N$35+N$71)/(L$35+L$71)),0)</f>
        <v>0</v>
      </c>
      <c r="O68" s="364" t="e">
        <f>O71*(1-$D$156)</f>
        <v>#DIV/0!</v>
      </c>
      <c r="P68" s="689" t="e">
        <f>O68*((P$35+P$71)/(O$35+O$71))</f>
        <v>#DIV/0!</v>
      </c>
      <c r="Q68" s="689">
        <f>IFERROR(O68*((Q$35+Q$71)/(O$35+O$71)),0)</f>
        <v>0</v>
      </c>
      <c r="R68" s="366" t="e">
        <f>R71*(1-$D$156)</f>
        <v>#DIV/0!</v>
      </c>
      <c r="S68" s="689" t="e">
        <f>R68*((S$35+S$71)/(R$35+R$71))</f>
        <v>#DIV/0!</v>
      </c>
      <c r="T68" s="689">
        <f>IFERROR(R68*((T$35+T$71)/(R$35+R$71)),0)</f>
        <v>0</v>
      </c>
      <c r="U68" s="761" t="e">
        <f>U71*(1-$D$156)</f>
        <v>#N/A</v>
      </c>
      <c r="V68" s="689">
        <f>IFERROR(U68*((V$35+V$71)/(U$35+U$71)),0)</f>
        <v>0</v>
      </c>
      <c r="W68" s="689">
        <f>IFERROR(U68*((W$35+W$71)/(U$35+U$71)),0)</f>
        <v>0</v>
      </c>
      <c r="X68" s="756" t="e">
        <f>X71*(1-$D$156)</f>
        <v>#N/A</v>
      </c>
      <c r="Y68" s="689">
        <f>IFERROR(X68*((Y$35+Y$71)/(X$35+X$71)),0)</f>
        <v>0</v>
      </c>
      <c r="Z68" s="689">
        <f>IFERROR(X68*((Z$35+Z$71)/(X$35+X$71)),0)</f>
        <v>0</v>
      </c>
      <c r="AA68" s="756" t="e">
        <f>AA71*(1-$D$156)</f>
        <v>#N/A</v>
      </c>
      <c r="AB68" s="689">
        <f>IFERROR(AA68*((AB$35+AB$71)/(AA$35+AA$71)),0)</f>
        <v>0</v>
      </c>
      <c r="AC68" s="689">
        <f>IFERROR(AA68*((AC$35+AC$71)/(AA$35+AA$71)),0)</f>
        <v>0</v>
      </c>
      <c r="AD68" s="756" t="e">
        <f>AD71*(1-$D$156)</f>
        <v>#N/A</v>
      </c>
      <c r="AE68" s="689">
        <f>IFERROR(AD68*((AE$35+AE$71)/(AD$35+AD$71)),0)</f>
        <v>0</v>
      </c>
      <c r="AF68" s="689">
        <f>IFERROR(AD68*((AF$35+AF$71)/(AD$35+AD$71)),0)</f>
        <v>0</v>
      </c>
      <c r="AG68" s="762" t="e">
        <f>AG71*(1-$D$156)</f>
        <v>#N/A</v>
      </c>
      <c r="AH68" s="689">
        <f>IFERROR(AG68*((AH$35+AH$71)/(AG$35+AG$71)),0)</f>
        <v>0</v>
      </c>
      <c r="AI68" s="689">
        <f>IFERROR(AG68*((AI$35+AI$71)/(AG$35+AG$71)),0)</f>
        <v>0</v>
      </c>
      <c r="AJ68" s="344" t="e">
        <f>AJ71*(1-$D$156)</f>
        <v>#DIV/0!</v>
      </c>
      <c r="AK68" s="689">
        <f>IFERROR(AJ68*((AK$35+AK$71)/(AJ$35+AJ$71)),0)</f>
        <v>0</v>
      </c>
      <c r="AL68" s="689">
        <f>IFERROR(AJ68*((AL$35+AL$71)/(AJ$35+AJ$71)),0)</f>
        <v>0</v>
      </c>
      <c r="AM68" s="344" t="e">
        <f>AM71*(1-$D$156)</f>
        <v>#DIV/0!</v>
      </c>
      <c r="AN68" s="689">
        <f>IFERROR(AM68*((AN$35+AN$71)/(AM$35+AM$71)),0)</f>
        <v>0</v>
      </c>
      <c r="AO68" s="689">
        <f>IFERROR(AM68*((AO$35+AO$71)/(AM$35+AM$71)),0)</f>
        <v>0</v>
      </c>
      <c r="AP68" s="763" t="e">
        <f>AP71*(1-$D$156)</f>
        <v>#DIV/0!</v>
      </c>
      <c r="AQ68" s="689">
        <f>IFERROR(AP68*((AQ$35+AQ$71)/(AP$35+AP$71)),0)</f>
        <v>0</v>
      </c>
      <c r="AR68" s="689">
        <f>IFERROR(AP68*((AR$35+AR$71)/(AP$35+AP$71)),0)</f>
        <v>0</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25">
      <c r="A69" s="375" t="s">
        <v>874</v>
      </c>
      <c r="B69" s="376" t="s">
        <v>1184</v>
      </c>
      <c r="C69" s="378" t="e">
        <f>0.86*C68/1000</f>
        <v>#DIV/0!</v>
      </c>
      <c r="D69" s="384" t="e">
        <f>0.86*D68/1000</f>
        <v>#DIV/0!</v>
      </c>
      <c r="E69" s="764" t="e">
        <f>0.86*E68/1000</f>
        <v>#DIV/0!</v>
      </c>
      <c r="F69" s="87"/>
      <c r="G69" s="396" t="s">
        <v>874</v>
      </c>
      <c r="H69" s="397" t="s">
        <v>1184</v>
      </c>
      <c r="I69" s="765" t="e">
        <f>0.86*I68/1000</f>
        <v>#DIV/0!</v>
      </c>
      <c r="J69" s="766" t="e">
        <f t="shared" ref="J69:M69" si="156">0.86*J68/1000</f>
        <v>#DIV/0!</v>
      </c>
      <c r="K69" s="767">
        <f t="shared" si="156"/>
        <v>0</v>
      </c>
      <c r="L69" s="758" t="e">
        <f>0.86*L68/1000</f>
        <v>#DIV/0!</v>
      </c>
      <c r="M69" s="766" t="e">
        <f t="shared" si="156"/>
        <v>#DIV/0!</v>
      </c>
      <c r="N69" s="767">
        <f t="shared" ref="N69" si="157">0.86*N68/1000</f>
        <v>0</v>
      </c>
      <c r="O69" s="699" t="e">
        <f>0.86*O68/1000</f>
        <v>#DIV/0!</v>
      </c>
      <c r="P69" s="766" t="e">
        <f t="shared" ref="P69" si="158">0.86*P68/1000</f>
        <v>#DIV/0!</v>
      </c>
      <c r="Q69" s="767">
        <f t="shared" ref="Q69" si="159">0.86*Q68/1000</f>
        <v>0</v>
      </c>
      <c r="R69" s="760" t="e">
        <f>0.86*R68/1000</f>
        <v>#DIV/0!</v>
      </c>
      <c r="S69" s="766" t="e">
        <f t="shared" ref="S69" si="160">0.86*S68/1000</f>
        <v>#DIV/0!</v>
      </c>
      <c r="T69" s="767">
        <f t="shared" ref="T69" si="161">0.86*T68/1000</f>
        <v>0</v>
      </c>
      <c r="U69" s="768" t="e">
        <f>0.86*U68/1000</f>
        <v>#N/A</v>
      </c>
      <c r="V69" s="697">
        <f t="shared" ref="V69:W69" si="162">0.86*V68/1000</f>
        <v>0</v>
      </c>
      <c r="W69" s="703">
        <f t="shared" si="162"/>
        <v>0</v>
      </c>
      <c r="X69" s="387" t="e">
        <f>0.86*X68/1000</f>
        <v>#N/A</v>
      </c>
      <c r="Y69" s="697">
        <f t="shared" ref="Y69:Z69" si="163">0.86*Y68/1000</f>
        <v>0</v>
      </c>
      <c r="Z69" s="703">
        <f t="shared" si="163"/>
        <v>0</v>
      </c>
      <c r="AA69" s="387" t="e">
        <f>0.86*AA68/1000</f>
        <v>#N/A</v>
      </c>
      <c r="AB69" s="697">
        <f t="shared" ref="AB69:AC69" si="164">0.86*AB68/1000</f>
        <v>0</v>
      </c>
      <c r="AC69" s="703">
        <f t="shared" si="164"/>
        <v>0</v>
      </c>
      <c r="AD69" s="387" t="e">
        <f>0.86*AD68/1000</f>
        <v>#N/A</v>
      </c>
      <c r="AE69" s="697">
        <f t="shared" ref="AE69:AF69" si="165">0.86*AE68/1000</f>
        <v>0</v>
      </c>
      <c r="AF69" s="703">
        <f t="shared" si="165"/>
        <v>0</v>
      </c>
      <c r="AG69" s="387" t="e">
        <f>0.86*AG68/1000</f>
        <v>#N/A</v>
      </c>
      <c r="AH69" s="697">
        <f t="shared" ref="AH69" si="166">0.86*AH68/1000</f>
        <v>0</v>
      </c>
      <c r="AI69" s="703">
        <f>0.86*AI68/1000</f>
        <v>0</v>
      </c>
      <c r="AJ69" s="699" t="e">
        <f>0.86*AJ68/1000</f>
        <v>#DIV/0!</v>
      </c>
      <c r="AK69" s="766">
        <f t="shared" ref="AK69" si="167">0.86*AK68/1000</f>
        <v>0</v>
      </c>
      <c r="AL69" s="741">
        <f t="shared" ref="AL69" si="168">0.86*AL68/1000</f>
        <v>0</v>
      </c>
      <c r="AM69" s="740" t="e">
        <f>0.86*AM68/1000</f>
        <v>#DIV/0!</v>
      </c>
      <c r="AN69" s="697">
        <f t="shared" ref="AN69:AO69" si="169">0.86*AN68/1000</f>
        <v>0</v>
      </c>
      <c r="AO69" s="769">
        <f t="shared" si="169"/>
        <v>0</v>
      </c>
      <c r="AP69" s="770" t="e">
        <f>0.86*AP68/1000</f>
        <v>#DIV/0!</v>
      </c>
      <c r="AQ69" s="697">
        <f t="shared" ref="AQ69:AR69" si="170">0.86*AQ68/1000</f>
        <v>0</v>
      </c>
      <c r="AR69" s="769">
        <f t="shared" si="170"/>
        <v>0</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
      <c r="A70" s="402" t="s">
        <v>874</v>
      </c>
      <c r="B70" s="403" t="s">
        <v>1181</v>
      </c>
      <c r="C70" s="771" t="e">
        <f>(C68/$C$35)*100</f>
        <v>#DIV/0!</v>
      </c>
      <c r="D70" s="772" t="e">
        <f>(D68/$E$35)*100</f>
        <v>#DIV/0!</v>
      </c>
      <c r="E70" s="751" t="e">
        <f>(E68/$E$35)*100</f>
        <v>#DIV/0!</v>
      </c>
      <c r="F70" s="87"/>
      <c r="G70" s="379" t="s">
        <v>874</v>
      </c>
      <c r="H70" s="405" t="s">
        <v>1181</v>
      </c>
      <c r="I70" s="773" t="e">
        <f>(I68/I35)*100</f>
        <v>#DIV/0!</v>
      </c>
      <c r="J70" s="774" t="e">
        <f t="shared" ref="J70:K70" si="171">(J68/J35)*100</f>
        <v>#DIV/0!</v>
      </c>
      <c r="K70" s="775" t="e">
        <f t="shared" si="171"/>
        <v>#N/A</v>
      </c>
      <c r="L70" s="773" t="e">
        <f>(L68/L35)*100</f>
        <v>#DIV/0!</v>
      </c>
      <c r="M70" s="774" t="e">
        <f t="shared" ref="M70" si="172">(M68/M35)*100</f>
        <v>#DIV/0!</v>
      </c>
      <c r="N70" s="775" t="e">
        <f t="shared" ref="N70" si="173">(N68/N35)*100</f>
        <v>#N/A</v>
      </c>
      <c r="O70" s="773" t="e">
        <f>(O68/O35)*100</f>
        <v>#DIV/0!</v>
      </c>
      <c r="P70" s="774" t="e">
        <f t="shared" ref="P70" si="174">(P68/P35)*100</f>
        <v>#DIV/0!</v>
      </c>
      <c r="Q70" s="775" t="e">
        <f t="shared" ref="Q70" si="175">(Q68/Q35)*100</f>
        <v>#N/A</v>
      </c>
      <c r="R70" s="773" t="e">
        <f>(R68/R35)*100</f>
        <v>#DIV/0!</v>
      </c>
      <c r="S70" s="774" t="e">
        <f t="shared" ref="S70" si="176">(S68/S35)*100</f>
        <v>#DIV/0!</v>
      </c>
      <c r="T70" s="775" t="e">
        <f t="shared" ref="T70" si="177">(T68/T35)*100</f>
        <v>#N/A</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25">
      <c r="A71" s="367" t="s">
        <v>1202</v>
      </c>
      <c r="B71" s="368" t="s">
        <v>842</v>
      </c>
      <c r="C71" s="369" t="e">
        <f>D148*D150*D146*0.024*D157</f>
        <v>#DIV/0!</v>
      </c>
      <c r="D71" s="776" t="e">
        <f>C71</f>
        <v>#DIV/0!</v>
      </c>
      <c r="E71" s="777" t="e">
        <f>C71</f>
        <v>#DIV/0!</v>
      </c>
      <c r="F71" s="436"/>
      <c r="G71" s="361" t="s">
        <v>1202</v>
      </c>
      <c r="H71" s="363" t="s">
        <v>842</v>
      </c>
      <c r="I71" s="370" t="e">
        <f>$D$148*D150*'Ввод исходных данных'!I251*0.024*$D$157</f>
        <v>#DIV/0!</v>
      </c>
      <c r="J71" s="778">
        <f>IF('Ввод исходных данных'!D185&lt;&gt;0,I71,0)</f>
        <v>0</v>
      </c>
      <c r="K71" s="725">
        <f>J71</f>
        <v>0</v>
      </c>
      <c r="L71" s="370" t="e">
        <f>$D$148*D150*'Ввод исходных данных'!I252*0.024*$D$157</f>
        <v>#DIV/0!</v>
      </c>
      <c r="M71" s="778">
        <f>IF('Ввод исходных данных'!D186&lt;&gt;0,L71,0)</f>
        <v>0</v>
      </c>
      <c r="N71" s="725">
        <f>M71</f>
        <v>0</v>
      </c>
      <c r="O71" s="370" t="e">
        <f>$D$148*D150*'Ввод исходных данных'!I253*0.024*$D$157</f>
        <v>#DIV/0!</v>
      </c>
      <c r="P71" s="778">
        <f>IF('Ввод исходных данных'!D187&lt;&gt;0,O71,0)</f>
        <v>0</v>
      </c>
      <c r="Q71" s="725">
        <f>P71</f>
        <v>0</v>
      </c>
      <c r="R71" s="370" t="e">
        <f>$D$148*D150*'Ввод исходных данных'!I254*0.024*$D$157</f>
        <v>#DIV/0!</v>
      </c>
      <c r="S71" s="778">
        <f>IF('Ввод исходных данных'!D188&lt;&gt;0,R71,0)</f>
        <v>0</v>
      </c>
      <c r="T71" s="725">
        <f>S71</f>
        <v>0</v>
      </c>
      <c r="U71" s="370" t="e">
        <f>IF(U38=0,0,$D$148*D150*'Ввод исходных данных'!I255*0.024*$D$157)</f>
        <v>#N/A</v>
      </c>
      <c r="V71" s="778">
        <f>IF('Ввод исходных данных'!D185&lt;&gt;0,U71,0)</f>
        <v>0</v>
      </c>
      <c r="W71" s="725">
        <f>V71</f>
        <v>0</v>
      </c>
      <c r="X71" s="370" t="e">
        <f>IF(X38=0,0,$D$148*D150*'Ввод исходных данных'!I256*0.024*$D$157)</f>
        <v>#N/A</v>
      </c>
      <c r="Y71" s="778">
        <f>IF('Ввод исходных данных'!D189&lt;&gt;0,X71,0)</f>
        <v>0</v>
      </c>
      <c r="Z71" s="725">
        <f>Y71</f>
        <v>0</v>
      </c>
      <c r="AA71" s="370" t="e">
        <f>IF(AA38=0,0,$D$148*D150*'Ввод исходных данных'!I257*0.024*$D$157)</f>
        <v>#N/A</v>
      </c>
      <c r="AB71" s="778">
        <f>IF('Ввод исходных данных'!D190&lt;&gt;0,AA71,0)</f>
        <v>0</v>
      </c>
      <c r="AC71" s="725">
        <f>AB71</f>
        <v>0</v>
      </c>
      <c r="AD71" s="370" t="e">
        <f>IF(AD38=0,0,$D$148*D150*'Ввод исходных данных'!I258*0.024*$D$157)</f>
        <v>#N/A</v>
      </c>
      <c r="AE71" s="778">
        <f>IF('Ввод исходных данных'!D191&lt;&gt;0,AD71,0)</f>
        <v>0</v>
      </c>
      <c r="AF71" s="725">
        <f>AE71</f>
        <v>0</v>
      </c>
      <c r="AG71" s="370" t="e">
        <f>IF(AG38=0,0,$D$148*D150*'Ввод исходных данных'!I259*0.024*$D$157)</f>
        <v>#N/A</v>
      </c>
      <c r="AH71" s="778">
        <f>IF('Ввод исходных данных'!D192&lt;&gt;0,AG71,0)</f>
        <v>0</v>
      </c>
      <c r="AI71" s="725">
        <f>AH71</f>
        <v>0</v>
      </c>
      <c r="AJ71" s="370" t="e">
        <f>$D$148*D150*'Ввод исходных данных'!I260*0.024*$D$157</f>
        <v>#DIV/0!</v>
      </c>
      <c r="AK71" s="778">
        <f>IF('Ввод исходных данных'!D193&lt;&gt;0,AJ71,0)</f>
        <v>0</v>
      </c>
      <c r="AL71" s="725">
        <f>AK71</f>
        <v>0</v>
      </c>
      <c r="AM71" s="370" t="e">
        <f>$D$148*D150*'Ввод исходных данных'!I261*0.024*$D$157</f>
        <v>#DIV/0!</v>
      </c>
      <c r="AN71" s="778">
        <f>IF('Ввод исходных данных'!D194&lt;&gt;0,AM71,0)</f>
        <v>0</v>
      </c>
      <c r="AO71" s="725">
        <f>AN71</f>
        <v>0</v>
      </c>
      <c r="AP71" s="370" t="e">
        <f>$D$148*D150*'Ввод исходных данных'!I262*0.024*$D$157</f>
        <v>#DIV/0!</v>
      </c>
      <c r="AQ71" s="779">
        <f>IF('Ввод исходных данных'!D195&lt;&gt;0,AP71,0)</f>
        <v>0</v>
      </c>
      <c r="AR71" s="725">
        <f>AQ71</f>
        <v>0</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
      <c r="A72" s="375" t="s">
        <v>874</v>
      </c>
      <c r="B72" s="376" t="s">
        <v>1184</v>
      </c>
      <c r="C72" s="378" t="e">
        <f>0.86*C71/1000</f>
        <v>#DIV/0!</v>
      </c>
      <c r="D72" s="378" t="e">
        <f>0.86*D71/1000</f>
        <v>#DIV/0!</v>
      </c>
      <c r="E72" s="378" t="e">
        <f>0.86*E71/1000</f>
        <v>#DIV/0!</v>
      </c>
      <c r="F72" s="87"/>
      <c r="G72" s="379" t="s">
        <v>874</v>
      </c>
      <c r="H72" s="380" t="s">
        <v>1184</v>
      </c>
      <c r="I72" s="382" t="e">
        <f>0.86*I71/1000</f>
        <v>#DIV/0!</v>
      </c>
      <c r="J72" s="381">
        <f t="shared" ref="J72:K72" si="178">0.86*J71/1000</f>
        <v>0</v>
      </c>
      <c r="K72" s="780">
        <f t="shared" si="178"/>
        <v>0</v>
      </c>
      <c r="L72" s="382" t="e">
        <f>0.86*L71/1000</f>
        <v>#DIV/0!</v>
      </c>
      <c r="M72" s="381">
        <f t="shared" ref="M72" si="179">0.86*M71/1000</f>
        <v>0</v>
      </c>
      <c r="N72" s="780">
        <f t="shared" ref="N72" si="180">0.86*N71/1000</f>
        <v>0</v>
      </c>
      <c r="O72" s="383" t="e">
        <f>0.86*O71/1000</f>
        <v>#DIV/0!</v>
      </c>
      <c r="P72" s="381">
        <f t="shared" ref="P72" si="181">0.86*P71/1000</f>
        <v>0</v>
      </c>
      <c r="Q72" s="780">
        <f t="shared" ref="Q72" si="182">0.86*Q71/1000</f>
        <v>0</v>
      </c>
      <c r="R72" s="384" t="e">
        <f>0.86*R71/1000</f>
        <v>#DIV/0!</v>
      </c>
      <c r="S72" s="781">
        <f t="shared" ref="S72" si="183">0.86*S71/1000</f>
        <v>0</v>
      </c>
      <c r="T72" s="782">
        <f t="shared" ref="T72" si="184">0.86*T71/1000</f>
        <v>0</v>
      </c>
      <c r="U72" s="385" t="e">
        <f>0.86*U71/1000</f>
        <v>#N/A</v>
      </c>
      <c r="V72" s="697">
        <f t="shared" ref="V72:W72" si="185">0.86*V71/1000</f>
        <v>0</v>
      </c>
      <c r="W72" s="703">
        <f t="shared" si="185"/>
        <v>0</v>
      </c>
      <c r="X72" s="386" t="e">
        <f>0.86*X71/1000</f>
        <v>#N/A</v>
      </c>
      <c r="Y72" s="697">
        <f t="shared" ref="Y72:Z72" si="186">0.86*Y71/1000</f>
        <v>0</v>
      </c>
      <c r="Z72" s="703">
        <f t="shared" si="186"/>
        <v>0</v>
      </c>
      <c r="AA72" s="384" t="e">
        <f>0.86*AA71/1000</f>
        <v>#N/A</v>
      </c>
      <c r="AB72" s="697">
        <f t="shared" ref="AB72:AC72" si="187">0.86*AB71/1000</f>
        <v>0</v>
      </c>
      <c r="AC72" s="703">
        <f t="shared" si="187"/>
        <v>0</v>
      </c>
      <c r="AD72" s="386" t="e">
        <f>0.86*AD71/1000</f>
        <v>#N/A</v>
      </c>
      <c r="AE72" s="783">
        <f t="shared" ref="AE72:AF72" si="188">0.86*AE71/1000</f>
        <v>0</v>
      </c>
      <c r="AF72" s="784">
        <f t="shared" si="188"/>
        <v>0</v>
      </c>
      <c r="AG72" s="386" t="e">
        <f>0.86*AG71/1000</f>
        <v>#N/A</v>
      </c>
      <c r="AH72" s="783">
        <f t="shared" ref="AH72:AI72" si="189">0.86*AH71/1000</f>
        <v>0</v>
      </c>
      <c r="AI72" s="784">
        <f t="shared" si="189"/>
        <v>0</v>
      </c>
      <c r="AJ72" s="383" t="e">
        <f>0.86*AJ71/1000</f>
        <v>#DIV/0!</v>
      </c>
      <c r="AK72" s="381">
        <f t="shared" ref="AK72:AL72" si="190">0.86*AK71/1000</f>
        <v>0</v>
      </c>
      <c r="AL72" s="780">
        <f t="shared" si="190"/>
        <v>0</v>
      </c>
      <c r="AM72" s="383" t="e">
        <f>0.86*AM71/1000</f>
        <v>#DIV/0!</v>
      </c>
      <c r="AN72" s="381">
        <f t="shared" ref="AN72:AO72" si="191">0.86*AN71/1000</f>
        <v>0</v>
      </c>
      <c r="AO72" s="780">
        <f t="shared" si="191"/>
        <v>0</v>
      </c>
      <c r="AP72" s="388" t="e">
        <f>0.86*AP71/1000</f>
        <v>#DIV/0!</v>
      </c>
      <c r="AQ72" s="457">
        <f t="shared" ref="AQ72:AR72" si="192">0.86*AQ71/1000</f>
        <v>0</v>
      </c>
      <c r="AR72" s="785">
        <f t="shared" si="192"/>
        <v>0</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25">
      <c r="A73" s="346" t="s">
        <v>1207</v>
      </c>
      <c r="B73" s="339" t="s">
        <v>842</v>
      </c>
      <c r="C73" s="786"/>
      <c r="D73" s="787" t="e">
        <f>D35-$C$35</f>
        <v>#N/A</v>
      </c>
      <c r="E73" s="788" t="e">
        <f>E35-$C$35</f>
        <v>#VALUE!</v>
      </c>
      <c r="F73" s="87"/>
      <c r="G73" s="361" t="s">
        <v>1207</v>
      </c>
      <c r="H73" s="343" t="s">
        <v>842</v>
      </c>
      <c r="I73" s="390"/>
      <c r="J73" s="627" t="e">
        <f>J35-I35</f>
        <v>#N/A</v>
      </c>
      <c r="K73" s="625" t="e">
        <f>K35-I35</f>
        <v>#N/A</v>
      </c>
      <c r="L73" s="390"/>
      <c r="M73" s="627" t="e">
        <f>M35-L35</f>
        <v>#N/A</v>
      </c>
      <c r="N73" s="625" t="e">
        <f>N35-L35</f>
        <v>#N/A</v>
      </c>
      <c r="O73" s="390"/>
      <c r="P73" s="789" t="e">
        <f>P35-O35</f>
        <v>#N/A</v>
      </c>
      <c r="Q73" s="629" t="e">
        <f>Q35-O35</f>
        <v>#N/A</v>
      </c>
      <c r="R73" s="390"/>
      <c r="S73" s="789" t="e">
        <f>S35-R35</f>
        <v>#N/A</v>
      </c>
      <c r="T73" s="629" t="e">
        <f>T35-R35</f>
        <v>#N/A</v>
      </c>
      <c r="U73" s="391"/>
      <c r="V73" s="790" t="e">
        <f>V35-U35</f>
        <v>#N/A</v>
      </c>
      <c r="W73" s="791" t="e">
        <f>W35-U35</f>
        <v>#N/A</v>
      </c>
      <c r="X73" s="390"/>
      <c r="Y73" s="789" t="e">
        <f>Y35-X35</f>
        <v>#N/A</v>
      </c>
      <c r="Z73" s="629" t="e">
        <f>Z35-X35</f>
        <v>#N/A</v>
      </c>
      <c r="AA73" s="390"/>
      <c r="AB73" s="789" t="e">
        <f>AB35-AA35</f>
        <v>#N/A</v>
      </c>
      <c r="AC73" s="629" t="e">
        <f>AC35-AA35</f>
        <v>#N/A</v>
      </c>
      <c r="AD73" s="413"/>
      <c r="AE73" s="792" t="e">
        <f>AE35-AD35</f>
        <v>#N/A</v>
      </c>
      <c r="AF73" s="793" t="e">
        <f>AF35-AD35</f>
        <v>#N/A</v>
      </c>
      <c r="AG73" s="412"/>
      <c r="AH73" s="792" t="e">
        <f>AH35-AG35</f>
        <v>#N/A</v>
      </c>
      <c r="AI73" s="793" t="e">
        <f>AI35-AG35</f>
        <v>#N/A</v>
      </c>
      <c r="AJ73" s="390"/>
      <c r="AK73" s="789" t="e">
        <f>AK35-AJ35</f>
        <v>#N/A</v>
      </c>
      <c r="AL73" s="629" t="e">
        <f>AL35-AJ35</f>
        <v>#N/A</v>
      </c>
      <c r="AM73" s="390"/>
      <c r="AN73" s="789" t="e">
        <f>AN35-AM35</f>
        <v>#N/A</v>
      </c>
      <c r="AO73" s="629" t="e">
        <f>AO35-AM35</f>
        <v>#N/A</v>
      </c>
      <c r="AP73" s="390"/>
      <c r="AQ73" s="627" t="e">
        <f>AQ35-AP35</f>
        <v>#N/A</v>
      </c>
      <c r="AR73" s="629" t="e">
        <f>AR35-AP35</f>
        <v>#N/A</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25">
      <c r="A74" s="375" t="s">
        <v>874</v>
      </c>
      <c r="B74" s="376" t="s">
        <v>1184</v>
      </c>
      <c r="C74" s="395"/>
      <c r="D74" s="394" t="e">
        <f>0.86*D73/1000</f>
        <v>#N/A</v>
      </c>
      <c r="E74" s="676" t="e">
        <f>0.86*E73/1000</f>
        <v>#VALUE!</v>
      </c>
      <c r="F74" s="87"/>
      <c r="G74" s="396" t="s">
        <v>874</v>
      </c>
      <c r="H74" s="397" t="s">
        <v>1184</v>
      </c>
      <c r="I74" s="399"/>
      <c r="J74" s="398" t="e">
        <f>J36-I36</f>
        <v>#N/A</v>
      </c>
      <c r="K74" s="794" t="e">
        <f>K36-I36</f>
        <v>#N/A</v>
      </c>
      <c r="L74" s="399"/>
      <c r="M74" s="795" t="e">
        <f>M36-L36</f>
        <v>#N/A</v>
      </c>
      <c r="N74" s="794" t="e">
        <f>N36-L36</f>
        <v>#N/A</v>
      </c>
      <c r="O74" s="399"/>
      <c r="P74" s="796" t="e">
        <f>P36-O36</f>
        <v>#N/A</v>
      </c>
      <c r="Q74" s="797" t="e">
        <f>Q36-O36</f>
        <v>#N/A</v>
      </c>
      <c r="R74" s="399"/>
      <c r="S74" s="796" t="e">
        <f>S36-R36</f>
        <v>#N/A</v>
      </c>
      <c r="T74" s="797" t="e">
        <f>T36-R36</f>
        <v>#N/A</v>
      </c>
      <c r="U74" s="400"/>
      <c r="V74" s="798" t="e">
        <f>V36-U36</f>
        <v>#N/A</v>
      </c>
      <c r="W74" s="799" t="e">
        <f>W36-U36</f>
        <v>#N/A</v>
      </c>
      <c r="X74" s="399"/>
      <c r="Y74" s="796" t="e">
        <f>Y36-X36</f>
        <v>#N/A</v>
      </c>
      <c r="Z74" s="797" t="e">
        <f>Z36-X36</f>
        <v>#N/A</v>
      </c>
      <c r="AA74" s="399"/>
      <c r="AB74" s="796" t="e">
        <f>AB36-AA36</f>
        <v>#N/A</v>
      </c>
      <c r="AC74" s="797" t="e">
        <f>AC36-AA36</f>
        <v>#N/A</v>
      </c>
      <c r="AD74" s="399"/>
      <c r="AE74" s="796" t="e">
        <f>AE36-AD36</f>
        <v>#N/A</v>
      </c>
      <c r="AF74" s="797" t="e">
        <f>AF36-AD36</f>
        <v>#N/A</v>
      </c>
      <c r="AG74" s="401"/>
      <c r="AH74" s="796" t="e">
        <f>AH36-AG36</f>
        <v>#N/A</v>
      </c>
      <c r="AI74" s="797" t="e">
        <f>AI36-AG36</f>
        <v>#N/A</v>
      </c>
      <c r="AJ74" s="399"/>
      <c r="AK74" s="796" t="e">
        <f>AK36-AJ36</f>
        <v>#N/A</v>
      </c>
      <c r="AL74" s="797" t="e">
        <f>AL36-AJ36</f>
        <v>#N/A</v>
      </c>
      <c r="AM74" s="399"/>
      <c r="AN74" s="796" t="e">
        <f>AN36-AM36</f>
        <v>#N/A</v>
      </c>
      <c r="AO74" s="797" t="e">
        <f>AO36-AM36</f>
        <v>#N/A</v>
      </c>
      <c r="AP74" s="399"/>
      <c r="AQ74" s="398" t="e">
        <f>AQ36-AP36</f>
        <v>#N/A</v>
      </c>
      <c r="AR74" s="797" t="e">
        <f>AR36-AP36</f>
        <v>#N/A</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5" customHeight="1" thickBot="1" x14ac:dyDescent="0.3">
      <c r="A75" s="402" t="s">
        <v>874</v>
      </c>
      <c r="B75" s="403" t="s">
        <v>1181</v>
      </c>
      <c r="C75" s="395"/>
      <c r="D75" s="404" t="e">
        <f>(D73/$C$35)*100</f>
        <v>#N/A</v>
      </c>
      <c r="E75" s="800" t="e">
        <f>(E73/$C$35)*100</f>
        <v>#VALUE!</v>
      </c>
      <c r="F75" s="87"/>
      <c r="G75" s="379" t="s">
        <v>874</v>
      </c>
      <c r="H75" s="405" t="s">
        <v>1181</v>
      </c>
      <c r="I75" s="407"/>
      <c r="J75" s="406" t="e">
        <f>(J73/I35)*100</f>
        <v>#N/A</v>
      </c>
      <c r="K75" s="801" t="e">
        <f>(K73/I35)*100</f>
        <v>#N/A</v>
      </c>
      <c r="L75" s="407"/>
      <c r="M75" s="802" t="e">
        <f>(M73/L35)*100</f>
        <v>#N/A</v>
      </c>
      <c r="N75" s="801" t="e">
        <f>(N73/L35)*100</f>
        <v>#N/A</v>
      </c>
      <c r="O75" s="408"/>
      <c r="P75" s="803">
        <f>IFERROR((P73/O35)*100,0)</f>
        <v>0</v>
      </c>
      <c r="Q75" s="804">
        <f>IFERROR((Q73/O35)*100,0)</f>
        <v>0</v>
      </c>
      <c r="R75" s="407"/>
      <c r="S75" s="803">
        <f>IFERROR((S73/R35)*100,0)</f>
        <v>0</v>
      </c>
      <c r="T75" s="804">
        <f>IFERROR((T73/R35)*100,0)</f>
        <v>0</v>
      </c>
      <c r="U75" s="409"/>
      <c r="V75" s="803">
        <f>IFERROR((V73/U35)*100,0)</f>
        <v>0</v>
      </c>
      <c r="W75" s="804">
        <f>IFERROR((W73/U35)*100,0)</f>
        <v>0</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0</v>
      </c>
      <c r="AI75" s="804">
        <f>IFERROR((AI73/AG35)*100,0)</f>
        <v>0</v>
      </c>
      <c r="AJ75" s="407"/>
      <c r="AK75" s="803">
        <f>IFERROR((AK73/AJ35)*100,0)</f>
        <v>0</v>
      </c>
      <c r="AL75" s="804">
        <f>IFERROR((AL73/AJ35)*100,0)</f>
        <v>0</v>
      </c>
      <c r="AM75" s="407"/>
      <c r="AN75" s="803">
        <f>IFERROR((AN73/AM35)*100,0)</f>
        <v>0</v>
      </c>
      <c r="AO75" s="804">
        <f>IFERROR((AO73/AM35)*100,0)</f>
        <v>0</v>
      </c>
      <c r="AP75" s="407"/>
      <c r="AQ75" s="406" t="e">
        <f>(AQ73/AP35)*100</f>
        <v>#N/A</v>
      </c>
      <c r="AR75" s="805" t="e">
        <f>(AR73/AP35)*100</f>
        <v>#N/A</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25">
      <c r="A76" s="806" t="s">
        <v>1208</v>
      </c>
      <c r="B76" s="807" t="s">
        <v>1354</v>
      </c>
      <c r="C76" s="808" t="e">
        <f>C35/('Ввод исходных данных'!$G$44++'Ввод исходных данных'!D22)</f>
        <v>#N/A</v>
      </c>
      <c r="D76" s="689" t="e">
        <f>D35/('Ввод исходных данных'!$G$44+'Ввод исходных данных'!$D$22)</f>
        <v>#DIV/0!</v>
      </c>
      <c r="E76" s="809" t="e">
        <f>E35/('Ввод исходных данных'!$G$44+'Ввод исходных данных'!$D$22)</f>
        <v>#VALUE!</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75" thickBot="1" x14ac:dyDescent="0.3">
      <c r="A77" s="402" t="s">
        <v>874</v>
      </c>
      <c r="B77" s="414" t="s">
        <v>1209</v>
      </c>
      <c r="C77" s="416" t="e">
        <f>C76*0.86/1000</f>
        <v>#N/A</v>
      </c>
      <c r="D77" s="415" t="e">
        <f t="shared" ref="D77:E77" si="193">D76*0.86/1000</f>
        <v>#DIV/0!</v>
      </c>
      <c r="E77" s="818" t="e">
        <f t="shared" si="193"/>
        <v>#VALUE!</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5" customHeight="1" x14ac:dyDescent="0.25">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25">
      <c r="A80" s="424" t="e">
        <f>C38</f>
        <v>#N/A</v>
      </c>
      <c r="B80" s="425" t="e">
        <f>C62</f>
        <v>#N/A</v>
      </c>
      <c r="C80" s="425" t="e">
        <f>C65</f>
        <v>#N/A</v>
      </c>
      <c r="D80" s="426" t="e">
        <f>C68</f>
        <v>#DIV/0!</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
      <c r="A82" s="1780" t="s">
        <v>1210</v>
      </c>
      <c r="B82" s="1780"/>
      <c r="C82" s="1780"/>
      <c r="D82" s="1780"/>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50000000000003" customHeight="1" x14ac:dyDescent="0.25">
      <c r="A83" s="1763" t="s">
        <v>834</v>
      </c>
      <c r="B83" s="1773" t="s">
        <v>1174</v>
      </c>
      <c r="C83" s="1771" t="s">
        <v>1175</v>
      </c>
      <c r="D83" s="1767" t="s">
        <v>1176</v>
      </c>
      <c r="E83" s="87"/>
      <c r="F83" s="87"/>
      <c r="G83" s="1776" t="s">
        <v>834</v>
      </c>
      <c r="H83" s="1781" t="s">
        <v>1174</v>
      </c>
      <c r="I83" s="1761" t="s">
        <v>488</v>
      </c>
      <c r="J83" s="1762"/>
      <c r="K83" s="1761" t="s">
        <v>489</v>
      </c>
      <c r="L83" s="1762"/>
      <c r="M83" s="1761" t="s">
        <v>490</v>
      </c>
      <c r="N83" s="1762"/>
      <c r="O83" s="1761" t="s">
        <v>491</v>
      </c>
      <c r="P83" s="1762"/>
      <c r="Q83" s="1761" t="s">
        <v>805</v>
      </c>
      <c r="R83" s="1762"/>
      <c r="S83" s="1761" t="s">
        <v>806</v>
      </c>
      <c r="T83" s="1762"/>
      <c r="U83" s="1761" t="s">
        <v>807</v>
      </c>
      <c r="V83" s="1762"/>
      <c r="W83" s="1761" t="s">
        <v>808</v>
      </c>
      <c r="X83" s="1762"/>
      <c r="Y83" s="1761" t="s">
        <v>809</v>
      </c>
      <c r="Z83" s="1762"/>
      <c r="AA83" s="1761" t="s">
        <v>482</v>
      </c>
      <c r="AB83" s="1762"/>
      <c r="AC83" s="1761" t="s">
        <v>486</v>
      </c>
      <c r="AD83" s="1762"/>
      <c r="AE83" s="1761" t="s">
        <v>487</v>
      </c>
      <c r="AF83" s="1762"/>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50000000000003" customHeight="1" thickBot="1" x14ac:dyDescent="0.3">
      <c r="A84" s="1764"/>
      <c r="B84" s="1774"/>
      <c r="C84" s="1772"/>
      <c r="D84" s="1768"/>
      <c r="E84" s="87"/>
      <c r="F84" s="87"/>
      <c r="G84" s="1777"/>
      <c r="H84" s="1782"/>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25">
      <c r="A85" s="821" t="s">
        <v>1212</v>
      </c>
      <c r="B85" s="822" t="s">
        <v>842</v>
      </c>
      <c r="C85" s="823" t="e">
        <f>IF('Система ГВС'!F3=2,0,(0.024*(D167*(D174-D175)*1*D177)/(3.6*24*D179))*(D170*D176+D146+(D169*(D170-D146)*(D174-'Ввод исходных данных'!$D$108)/(D174-D175)))*(1-0.4*'Ввод исходных данных'!$D$20/'Ввод исходных данных'!$D$19)*'Ввод исходных данных'!$G$44)</f>
        <v>#N/A</v>
      </c>
      <c r="D85" s="824">
        <f>IF('Система ГВС'!F3=2,0,D86*1163)</f>
        <v>0</v>
      </c>
      <c r="E85" s="87"/>
      <c r="F85" s="334"/>
      <c r="G85" s="825" t="s">
        <v>1213</v>
      </c>
      <c r="H85" s="826" t="s">
        <v>842</v>
      </c>
      <c r="I85" s="827" t="e">
        <f>(0.024* (G167*($D$174-IF(G146&gt;=0.8*G165,$D$175,'Ввод исходных данных'!$D$108))*1*$D$177)/(3.6*24*$D$179))*(G170*$D$176+G146+(G170-G146))*(1-0.4*'Ввод исходных данных'!$D$20/'Ввод исходных данных'!$D$19)*'Ввод исходных данных'!$G$44*'Система ГВС'!$H$4</f>
        <v>#N/A</v>
      </c>
      <c r="J85" s="828" t="e">
        <f>J86*1163*'Система ГВС'!$H$4</f>
        <v>#N/A</v>
      </c>
      <c r="K85" s="827" t="e">
        <f>(0.024* (H167*($D$174-IF(H146&gt;=0.8*H165,$D$175,'Ввод исходных данных'!$D$108))*1*$D$177)/(3.6*24*$D$179))*(H170*$D$176+H146+(H170-H146))*(1-0.4*'Ввод исходных данных'!$D$20/'Ввод исходных данных'!$D$19)*'Ввод исходных данных'!$G$44*'Система ГВС'!$H$4</f>
        <v>#N/A</v>
      </c>
      <c r="L85" s="828" t="e">
        <f>L86*1163*'Система ГВС'!$H$4</f>
        <v>#N/A</v>
      </c>
      <c r="M85" s="827" t="e">
        <f>(0.024* (I167*($D$174-IF(I146&gt;=0.8*I165,$D$175,'Ввод исходных данных'!$D$108))*1*$D$177)/(3.6*24*$D$179))*(I170*$D$176+I146+(I170-I146))*(1-0.4*'Ввод исходных данных'!$D$20/'Ввод исходных данных'!$D$19)*'Ввод исходных данных'!$G$44*'Система ГВС'!$H$4</f>
        <v>#N/A</v>
      </c>
      <c r="N85" s="829" t="e">
        <f>N86*1163*'Система ГВС'!$H$4</f>
        <v>#N/A</v>
      </c>
      <c r="O85" s="827" t="e">
        <f>(0.024* (J167*($D$174-IF(J146&gt;=0.8*J165,$D$175,'Ввод исходных данных'!$D$108))*1*$D$177)/(3.6*24*$D$179))*(J170*$D$176+J146+(J170-J146))*(1-0.4*'Ввод исходных данных'!$D$20/'Ввод исходных данных'!$D$19)*'Ввод исходных данных'!$G$44*'Система ГВС'!$H$4</f>
        <v>#N/A</v>
      </c>
      <c r="P85" s="828" t="e">
        <f>P86*1163*'Система ГВС'!$H$4</f>
        <v>#N/A</v>
      </c>
      <c r="Q85" s="827" t="e">
        <f>(0.024* (K167*($D$174-IF(K146&gt;=0.8*K165,$D$175,'Ввод исходных данных'!$D$108))*1*$D$177)/(3.6*24*$D$179))*(K170*$D$176+K146+(K170-K146))*(1-0.4*'Ввод исходных данных'!$D$20/'Ввод исходных данных'!$D$19)*'Ввод исходных данных'!$G$44*'Система ГВС'!$H$4</f>
        <v>#N/A</v>
      </c>
      <c r="R85" s="830" t="e">
        <f>R86*1163*'Система ГВС'!$H$4</f>
        <v>#N/A</v>
      </c>
      <c r="S85" s="827" t="e">
        <f>(0.024* (L167*($D$174-IF(L146&gt;=0.8*L165,$D$175,'Ввод исходных данных'!$D$108))*1*$D$177)/(3.6*24*$D$179))*(L170*$D$176+L146+(L170-L146))*(1-0.4*'Ввод исходных данных'!$D$20/'Ввод исходных данных'!$D$19)*'Ввод исходных данных'!$G$44*'Система ГВС'!$H$4</f>
        <v>#N/A</v>
      </c>
      <c r="T85" s="830" t="e">
        <f>T86*1163*'Система ГВС'!$H$4</f>
        <v>#N/A</v>
      </c>
      <c r="U85" s="827" t="e">
        <f>(0.024* (M167*($D$174-IF(M146&gt;=0.8*M165,$D$175,'Ввод исходных данных'!$D$108))*1*$D$177)/(3.6*24*$D$179))*(M170*$D$176+M146+(M170-M146))*(1-0.4*'Ввод исходных данных'!$D$20/'Ввод исходных данных'!$D$19)*'Ввод исходных данных'!$G$44*'Система ГВС'!$H$4</f>
        <v>#N/A</v>
      </c>
      <c r="V85" s="829" t="e">
        <f>V86*1163*'Система ГВС'!$H$4</f>
        <v>#N/A</v>
      </c>
      <c r="W85" s="827" t="e">
        <f>(0.024* (N167*($D$174-IF(N146&gt;=0.8*N165,$D$175,'Ввод исходных данных'!$D$108))*1*$D$177)/(3.6*24*$D$179))*(N170*$D$176+N146+(N170-N146))*(1-0.4*'Ввод исходных данных'!$D$20/'Ввод исходных данных'!$D$19)*'Ввод исходных данных'!$G$44*'Система ГВС'!$H$4</f>
        <v>#N/A</v>
      </c>
      <c r="X85" s="828" t="e">
        <f>X86*1163*'Система ГВС'!$H$4</f>
        <v>#N/A</v>
      </c>
      <c r="Y85" s="827" t="e">
        <f>(0.024* (O167*($D$174-IF(G146&gt;=0.8*O165,$D$175,'Ввод исходных данных'!$D$108))*1*$D$177)/(3.6*24*$D$179))*(O170*$D$176+O146+(O170-O146))*(1-0.4*'Ввод исходных данных'!$D$20/'Ввод исходных данных'!$D$19)*'Ввод исходных данных'!$G$44*'Система ГВС'!$H$4</f>
        <v>#N/A</v>
      </c>
      <c r="Z85" s="828" t="e">
        <f>Z86*1163*'Система ГВС'!$H$4</f>
        <v>#N/A</v>
      </c>
      <c r="AA85" s="827" t="e">
        <f>(0.024* (P167*($D$174-IF(P146&gt;=0.8*P165,$D$175,'Ввод исходных данных'!$D$108))*1*$D$177)/(3.6*24*$D$179))*(P170*$D$176+P146+(P170-P146))*(1-0.4*'Ввод исходных данных'!$D$20/'Ввод исходных данных'!$D$19)*'Ввод исходных данных'!$G$44*'Система ГВС'!$H$4</f>
        <v>#N/A</v>
      </c>
      <c r="AB85" s="828" t="e">
        <f>AB86*1163*'Система ГВС'!$H$4</f>
        <v>#N/A</v>
      </c>
      <c r="AC85" s="827" t="e">
        <f>(0.024* (Q167*($D$174-IF(Q146&gt;=0.8*Q165,$D$175,'Ввод исходных данных'!$D$108))*1*$D$177)/(3.6*24*$D$179))*(Q170*$D$176+Q146+(Q170-Q146))*(1-0.4*'Ввод исходных данных'!$D$20/'Ввод исходных данных'!$D$19)*'Ввод исходных данных'!$G$44*'Система ГВС'!$H$4</f>
        <v>#N/A</v>
      </c>
      <c r="AD85" s="828" t="e">
        <f>AD86*1163*'Система ГВС'!$H$4</f>
        <v>#N/A</v>
      </c>
      <c r="AE85" s="827" t="e">
        <f>(0.024* (R167*($D$174-IF(R146&gt;=0.8*R165,$D$175,'Ввод исходных данных'!$D$108))*1*$D$177)/(3.6*24*$D$179))*(R170*$D$176+R146+(R170-R146))*(1-0.4*'Ввод исходных данных'!$D$20/'Ввод исходных данных'!$D$19)*'Ввод исходных данных'!$G$44*'Система ГВС'!$H$4</f>
        <v>#N/A</v>
      </c>
      <c r="AF85" s="828" t="e">
        <f>AF86*1163*'Система ГВС'!$H$4</f>
        <v>#N/A</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75" thickBot="1" x14ac:dyDescent="0.3">
      <c r="A86" s="831" t="s">
        <v>874</v>
      </c>
      <c r="B86" s="403" t="s">
        <v>1184</v>
      </c>
      <c r="C86" s="832" t="e">
        <f>0.86*C85/1000</f>
        <v>#N/A</v>
      </c>
      <c r="D86" s="833">
        <f>IF('Система ГВС'!F3=2,0,'Ввод исходных данных'!K197)</f>
        <v>0</v>
      </c>
      <c r="E86" s="87"/>
      <c r="F86" s="87"/>
      <c r="G86" s="561" t="s">
        <v>874</v>
      </c>
      <c r="H86" s="562" t="s">
        <v>1184</v>
      </c>
      <c r="I86" s="382" t="e">
        <f>0.86*I85/1000</f>
        <v>#N/A</v>
      </c>
      <c r="J86" s="834" t="e">
        <f>'Ввод исходных данных'!K185*'Система ГВС'!$H$4</f>
        <v>#N/A</v>
      </c>
      <c r="K86" s="382" t="e">
        <f>0.86*K85/1000</f>
        <v>#N/A</v>
      </c>
      <c r="L86" s="834" t="e">
        <f>'Ввод исходных данных'!K186*'Система ГВС'!$H$4</f>
        <v>#N/A</v>
      </c>
      <c r="M86" s="835" t="e">
        <f>0.86*M85/1000</f>
        <v>#N/A</v>
      </c>
      <c r="N86" s="836" t="e">
        <f>'Ввод исходных данных'!K187*'Система ГВС'!$H$4</f>
        <v>#N/A</v>
      </c>
      <c r="O86" s="382" t="e">
        <f>0.86*O85/1000</f>
        <v>#N/A</v>
      </c>
      <c r="P86" s="834" t="e">
        <f>'Ввод исходных данных'!K188*'Система ГВС'!$H$4</f>
        <v>#N/A</v>
      </c>
      <c r="Q86" s="835" t="e">
        <f>0.86*Q85/1000</f>
        <v>#N/A</v>
      </c>
      <c r="R86" s="837" t="e">
        <f>'Ввод исходных данных'!K189*'Система ГВС'!$H$4</f>
        <v>#N/A</v>
      </c>
      <c r="S86" s="781" t="e">
        <f>0.86*S85/1000</f>
        <v>#N/A</v>
      </c>
      <c r="T86" s="838" t="e">
        <f>'Ввод исходных данных'!K190*'Система ГВС'!$H$4</f>
        <v>#N/A</v>
      </c>
      <c r="U86" s="781" t="e">
        <f>0.86*U85/1000</f>
        <v>#N/A</v>
      </c>
      <c r="V86" s="839" t="e">
        <f>'Ввод исходных данных'!K191*'Система ГВС'!$H$4</f>
        <v>#N/A</v>
      </c>
      <c r="W86" s="383" t="e">
        <f>0.86*W85/1000</f>
        <v>#N/A</v>
      </c>
      <c r="X86" s="619" t="e">
        <f>'Ввод исходных данных'!K192*'Система ГВС'!$H$4</f>
        <v>#N/A</v>
      </c>
      <c r="Y86" s="383" t="e">
        <f>0.86*Y85/1000</f>
        <v>#N/A</v>
      </c>
      <c r="Z86" s="619" t="e">
        <f>'Ввод исходных данных'!K193*'Система ГВС'!$H$4</f>
        <v>#N/A</v>
      </c>
      <c r="AA86" s="383" t="e">
        <f>0.86*AA85/1000</f>
        <v>#N/A</v>
      </c>
      <c r="AB86" s="619" t="e">
        <f>'Ввод исходных данных'!K194*'Система ГВС'!$H$4</f>
        <v>#N/A</v>
      </c>
      <c r="AC86" s="383" t="e">
        <f>0.86*AC85/1000</f>
        <v>#N/A</v>
      </c>
      <c r="AD86" s="840" t="e">
        <f>'Ввод исходных данных'!K195*'Система ГВС'!$H$4</f>
        <v>#N/A</v>
      </c>
      <c r="AE86" s="382" t="e">
        <f>0.86*AE85/1000</f>
        <v>#N/A</v>
      </c>
      <c r="AF86" s="840" t="e">
        <f>'Ввод исходных данных'!K196*'Система ГВС'!$H$4</f>
        <v>#N/A</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5" customHeight="1" x14ac:dyDescent="0.25">
      <c r="A87" s="841" t="s">
        <v>1214</v>
      </c>
      <c r="B87" s="842" t="s">
        <v>842</v>
      </c>
      <c r="C87" s="843"/>
      <c r="D87" s="844" t="e">
        <f>D85-C85</f>
        <v>#N/A</v>
      </c>
      <c r="E87" s="87"/>
      <c r="F87" s="87"/>
      <c r="G87" s="845" t="s">
        <v>1215</v>
      </c>
      <c r="H87" s="826" t="s">
        <v>842</v>
      </c>
      <c r="I87" s="846"/>
      <c r="J87" s="847" t="e">
        <f>J85-I85</f>
        <v>#N/A</v>
      </c>
      <c r="K87" s="846"/>
      <c r="L87" s="847" t="e">
        <f>L85-K85</f>
        <v>#N/A</v>
      </c>
      <c r="M87" s="846"/>
      <c r="N87" s="847" t="e">
        <f>N85-M85</f>
        <v>#N/A</v>
      </c>
      <c r="O87" s="846"/>
      <c r="P87" s="847" t="e">
        <f>P85-O85</f>
        <v>#N/A</v>
      </c>
      <c r="Q87" s="846"/>
      <c r="R87" s="847" t="e">
        <f>R85-Q85</f>
        <v>#N/A</v>
      </c>
      <c r="S87" s="846"/>
      <c r="T87" s="847" t="e">
        <f>T85-S85</f>
        <v>#N/A</v>
      </c>
      <c r="U87" s="846"/>
      <c r="V87" s="847" t="e">
        <f>V85-U85</f>
        <v>#N/A</v>
      </c>
      <c r="W87" s="846"/>
      <c r="X87" s="847" t="e">
        <f>X85-W85</f>
        <v>#N/A</v>
      </c>
      <c r="Y87" s="846"/>
      <c r="Z87" s="847" t="e">
        <f>Z85-Y85</f>
        <v>#N/A</v>
      </c>
      <c r="AA87" s="846"/>
      <c r="AB87" s="847" t="e">
        <f>AB85-AA85</f>
        <v>#N/A</v>
      </c>
      <c r="AC87" s="846"/>
      <c r="AD87" s="847" t="e">
        <f>AD85-AC85</f>
        <v>#N/A</v>
      </c>
      <c r="AE87" s="846"/>
      <c r="AF87" s="847" t="e">
        <f>AF85-AE85</f>
        <v>#N/A</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25">
      <c r="A88" s="375" t="s">
        <v>874</v>
      </c>
      <c r="B88" s="376" t="s">
        <v>1184</v>
      </c>
      <c r="C88" s="848"/>
      <c r="D88" s="849" t="e">
        <f>D86-C86</f>
        <v>#N/A</v>
      </c>
      <c r="E88" s="87"/>
      <c r="F88" s="87"/>
      <c r="G88" s="850" t="s">
        <v>874</v>
      </c>
      <c r="H88" s="851" t="s">
        <v>1184</v>
      </c>
      <c r="I88" s="635"/>
      <c r="J88" s="632" t="e">
        <f>J86-I86</f>
        <v>#N/A</v>
      </c>
      <c r="K88" s="635"/>
      <c r="L88" s="632" t="e">
        <f>L86-K86</f>
        <v>#N/A</v>
      </c>
      <c r="M88" s="635"/>
      <c r="N88" s="632" t="e">
        <f>N86-M86</f>
        <v>#N/A</v>
      </c>
      <c r="O88" s="635"/>
      <c r="P88" s="632" t="e">
        <f>P86-O86</f>
        <v>#N/A</v>
      </c>
      <c r="Q88" s="635"/>
      <c r="R88" s="632" t="e">
        <f>R86-Q86</f>
        <v>#N/A</v>
      </c>
      <c r="S88" s="635"/>
      <c r="T88" s="632" t="e">
        <f>T86-S86</f>
        <v>#N/A</v>
      </c>
      <c r="U88" s="635"/>
      <c r="V88" s="632" t="e">
        <f>V86-U86</f>
        <v>#N/A</v>
      </c>
      <c r="W88" s="635"/>
      <c r="X88" s="632" t="e">
        <f>X86-W86</f>
        <v>#N/A</v>
      </c>
      <c r="Y88" s="635"/>
      <c r="Z88" s="632" t="e">
        <f>Z86-Y86</f>
        <v>#N/A</v>
      </c>
      <c r="AA88" s="635"/>
      <c r="AB88" s="632" t="e">
        <f>AB86-AA86</f>
        <v>#N/A</v>
      </c>
      <c r="AC88" s="635"/>
      <c r="AD88" s="632" t="e">
        <f>AD86-AC86</f>
        <v>#N/A</v>
      </c>
      <c r="AE88" s="635"/>
      <c r="AF88" s="632" t="e">
        <f>AF86-AE86</f>
        <v>#N/A</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
      <c r="A89" s="402" t="s">
        <v>874</v>
      </c>
      <c r="B89" s="403" t="s">
        <v>1181</v>
      </c>
      <c r="C89" s="852"/>
      <c r="D89" s="853" t="e">
        <f>IF('Система ГВС'!F3=2,0,(D87/C85)*100)</f>
        <v>#N/A</v>
      </c>
      <c r="E89" s="87"/>
      <c r="F89" s="87"/>
      <c r="G89" s="561" t="s">
        <v>874</v>
      </c>
      <c r="H89" s="562" t="s">
        <v>1181</v>
      </c>
      <c r="I89" s="647"/>
      <c r="J89" s="854" t="e">
        <f>(J87/I85)*100</f>
        <v>#N/A</v>
      </c>
      <c r="K89" s="647"/>
      <c r="L89" s="854" t="e">
        <f>(L87/K85)*100</f>
        <v>#N/A</v>
      </c>
      <c r="M89" s="647"/>
      <c r="N89" s="854" t="e">
        <f>(N87/M85)*100</f>
        <v>#N/A</v>
      </c>
      <c r="O89" s="647"/>
      <c r="P89" s="854" t="e">
        <f>(P87/O85)*100</f>
        <v>#N/A</v>
      </c>
      <c r="Q89" s="647"/>
      <c r="R89" s="854" t="e">
        <f>(R87/Q85)*100</f>
        <v>#N/A</v>
      </c>
      <c r="S89" s="647"/>
      <c r="T89" s="854" t="e">
        <f>(T87/S85)*100</f>
        <v>#N/A</v>
      </c>
      <c r="U89" s="647"/>
      <c r="V89" s="854" t="e">
        <f>(V87/U85)*100</f>
        <v>#N/A</v>
      </c>
      <c r="W89" s="647"/>
      <c r="X89" s="854" t="e">
        <f>(X87/W85)*100</f>
        <v>#N/A</v>
      </c>
      <c r="Y89" s="647"/>
      <c r="Z89" s="854" t="e">
        <f>(Z87/Y85)*100</f>
        <v>#N/A</v>
      </c>
      <c r="AA89" s="647"/>
      <c r="AB89" s="854" t="e">
        <f>(AB87/AA85)*100</f>
        <v>#N/A</v>
      </c>
      <c r="AC89" s="647"/>
      <c r="AD89" s="854" t="e">
        <f>(AD87/AC85)*100</f>
        <v>#N/A</v>
      </c>
      <c r="AE89" s="647"/>
      <c r="AF89" s="854" t="e">
        <f>(AF87/AE85)*100</f>
        <v>#N/A</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75" thickBot="1" x14ac:dyDescent="0.3">
      <c r="A90" s="855" t="s">
        <v>1216</v>
      </c>
      <c r="B90" s="856" t="s">
        <v>1353</v>
      </c>
      <c r="C90" s="857" t="e">
        <f>IF('Система ГВС'!F3=2,0,D168*365*'Ввод исходных данных'!$D$21/1000*(1-0.4*'Ввод исходных данных'!D20/'Ввод исходных данных'!D19))</f>
        <v>#DIV/0!</v>
      </c>
      <c r="D90" s="858">
        <f>IF('Система ГВС'!F3=2,0,'Ввод исходных данных'!F217)</f>
        <v>0</v>
      </c>
      <c r="E90" s="87"/>
      <c r="F90" s="334"/>
      <c r="G90" s="859" t="s">
        <v>1219</v>
      </c>
      <c r="H90" s="856" t="s">
        <v>1353</v>
      </c>
      <c r="I90" s="860" t="e">
        <f>G167*G170*'Ввод исходных данных'!$D$21/1000*(1-0.4*'Ввод исходных данных'!D20/'Ввод исходных данных'!D19)*'Система ГВС'!$H$4</f>
        <v>#N/A</v>
      </c>
      <c r="J90" s="861">
        <f>'Ввод исходных данных'!F205*'Система ГВС'!$H$4</f>
        <v>0</v>
      </c>
      <c r="K90" s="860" t="e">
        <f>H167*H165*'Ввод исходных данных'!$D$21/1000*(1-0.4*'Ввод исходных данных'!D20/'Ввод исходных данных'!D19)*'Система ГВС'!$H$4</f>
        <v>#N/A</v>
      </c>
      <c r="L90" s="861">
        <f>'Ввод исходных данных'!$F$206*'Система ГВС'!$H$4</f>
        <v>0</v>
      </c>
      <c r="M90" s="860" t="e">
        <f>I167*I165*'Ввод исходных данных'!$D$21/1000*(1-0.4*'Ввод исходных данных'!D20/'Ввод исходных данных'!D19)*'Система ГВС'!$H$4</f>
        <v>#N/A</v>
      </c>
      <c r="N90" s="861">
        <f>'Ввод исходных данных'!$F$207*'Система ГВС'!$H$4</f>
        <v>0</v>
      </c>
      <c r="O90" s="860" t="e">
        <f>J167*J165*'Ввод исходных данных'!$D$21/1000*(1-0.4*'Ввод исходных данных'!D20/'Ввод исходных данных'!D19)*'Система ГВС'!$H$4</f>
        <v>#N/A</v>
      </c>
      <c r="P90" s="861">
        <f>'Ввод исходных данных'!$F$208*'Система ГВС'!$H$4</f>
        <v>0</v>
      </c>
      <c r="Q90" s="860" t="e">
        <f>K167*K165*'Ввод исходных данных'!$D$21/1000*(1-0.4*'Ввод исходных данных'!D20/'Ввод исходных данных'!D19)*'Система ГВС'!$H$4</f>
        <v>#N/A</v>
      </c>
      <c r="R90" s="861">
        <f>'Ввод исходных данных'!$F$209*'Система ГВС'!$H$4</f>
        <v>0</v>
      </c>
      <c r="S90" s="860" t="e">
        <f>L167*L165*'Ввод исходных данных'!$D$21/1000*(1-0.4*'Ввод исходных данных'!D20/'Ввод исходных данных'!D19)*'Система ГВС'!$H$4</f>
        <v>#N/A</v>
      </c>
      <c r="T90" s="861">
        <f>'Ввод исходных данных'!$F$210*'Система ГВС'!$H$4</f>
        <v>0</v>
      </c>
      <c r="U90" s="860" t="e">
        <f>M167*M170*'Ввод исходных данных'!$D$21/1000*(1-0.4*'Ввод исходных данных'!D20/'Ввод исходных данных'!D19)*'Система ГВС'!$H$4</f>
        <v>#N/A</v>
      </c>
      <c r="V90" s="861">
        <f>'Ввод исходных данных'!$F$211*'Система ГВС'!$H$4</f>
        <v>0</v>
      </c>
      <c r="W90" s="860" t="e">
        <f>N167*N165*'Ввод исходных данных'!$D$21/1000*(1-0.4*'Ввод исходных данных'!D20/'Ввод исходных данных'!D19)*'Система ГВС'!$H$4</f>
        <v>#N/A</v>
      </c>
      <c r="X90" s="862">
        <f>'Ввод исходных данных'!$F$212*'Система ГВС'!$H$4</f>
        <v>0</v>
      </c>
      <c r="Y90" s="860" t="e">
        <f>O167*O165*'Ввод исходных данных'!$D$21/1000*(1-0.4*'Ввод исходных данных'!D20/'Ввод исходных данных'!D19)*'Система ГВС'!$H$4</f>
        <v>#N/A</v>
      </c>
      <c r="Z90" s="863">
        <f>'Ввод исходных данных'!$F$213*'Система ГВС'!$H$4</f>
        <v>0</v>
      </c>
      <c r="AA90" s="860" t="e">
        <f>P167*P165*'Ввод исходных данных'!$D$21/1000*(1-0.4*'Ввод исходных данных'!D20/'Ввод исходных данных'!D19)*'Система ГВС'!$H$4</f>
        <v>#N/A</v>
      </c>
      <c r="AB90" s="862">
        <f>'Ввод исходных данных'!$F$214*'Система ГВС'!$H$4</f>
        <v>0</v>
      </c>
      <c r="AC90" s="860" t="e">
        <f>Q167*Q165*'Ввод исходных данных'!$D$21/1000*(1-0.4*'Ввод исходных данных'!D20/'Ввод исходных данных'!D19)*'Система ГВС'!$H$4</f>
        <v>#N/A</v>
      </c>
      <c r="AD90" s="864">
        <f>'Ввод исходных данных'!$F$215*'Система ГВС'!$H$4</f>
        <v>0</v>
      </c>
      <c r="AE90" s="860" t="e">
        <f>R167*R165*'Ввод исходных данных'!$D$21/1000*(1-0.4*'Ввод исходных данных'!D20/'Ввод исходных данных'!D19)*'Система ГВС'!$H$4</f>
        <v>#N/A</v>
      </c>
      <c r="AF90" s="681">
        <f>'Ввод исходных данных'!$F$216*'Система ГВС'!$H$4</f>
        <v>0</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5" customHeight="1" x14ac:dyDescent="0.25">
      <c r="A91" s="841" t="s">
        <v>1218</v>
      </c>
      <c r="B91" s="865" t="s">
        <v>1217</v>
      </c>
      <c r="C91" s="843"/>
      <c r="D91" s="866" t="e">
        <f>D90-C90</f>
        <v>#DIV/0!</v>
      </c>
      <c r="E91" s="87"/>
      <c r="F91" s="87"/>
      <c r="G91" s="845" t="s">
        <v>1220</v>
      </c>
      <c r="H91" s="826" t="s">
        <v>1217</v>
      </c>
      <c r="I91" s="867"/>
      <c r="J91" s="847" t="e">
        <f>J90-I90</f>
        <v>#N/A</v>
      </c>
      <c r="K91" s="867"/>
      <c r="L91" s="847" t="e">
        <f>L90-K90</f>
        <v>#N/A</v>
      </c>
      <c r="M91" s="867"/>
      <c r="N91" s="847" t="e">
        <f>N90-M90</f>
        <v>#N/A</v>
      </c>
      <c r="O91" s="867"/>
      <c r="P91" s="847" t="e">
        <f>P90-O90</f>
        <v>#N/A</v>
      </c>
      <c r="Q91" s="846"/>
      <c r="R91" s="847" t="e">
        <f>R90-Q90</f>
        <v>#N/A</v>
      </c>
      <c r="S91" s="867"/>
      <c r="T91" s="847" t="e">
        <f>T90-S90</f>
        <v>#N/A</v>
      </c>
      <c r="U91" s="846"/>
      <c r="V91" s="847" t="e">
        <f>V90-U90</f>
        <v>#N/A</v>
      </c>
      <c r="W91" s="846"/>
      <c r="X91" s="847" t="e">
        <f>X90-W90</f>
        <v>#N/A</v>
      </c>
      <c r="Y91" s="846"/>
      <c r="Z91" s="847" t="e">
        <f>Z90-Y90</f>
        <v>#N/A</v>
      </c>
      <c r="AA91" s="867"/>
      <c r="AB91" s="868" t="e">
        <f>AB90-AA90</f>
        <v>#N/A</v>
      </c>
      <c r="AC91" s="134"/>
      <c r="AD91" s="869" t="e">
        <f>AD90-AC90</f>
        <v>#N/A</v>
      </c>
      <c r="AE91" s="846"/>
      <c r="AF91" s="847" t="e">
        <f>AF90-AE90</f>
        <v>#N/A</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45" customHeight="1" thickBot="1" x14ac:dyDescent="0.3">
      <c r="A92" s="402" t="s">
        <v>874</v>
      </c>
      <c r="B92" s="615" t="s">
        <v>1181</v>
      </c>
      <c r="C92" s="852"/>
      <c r="D92" s="870" t="e">
        <f>IF('Система ГВС'!F3=2,0,(D91/C90)*100)</f>
        <v>#DIV/0!</v>
      </c>
      <c r="E92" s="87"/>
      <c r="F92" s="87"/>
      <c r="G92" s="561" t="s">
        <v>874</v>
      </c>
      <c r="H92" s="562" t="s">
        <v>1181</v>
      </c>
      <c r="I92" s="639"/>
      <c r="J92" s="871" t="e">
        <f>(J91/I90)*100</f>
        <v>#N/A</v>
      </c>
      <c r="K92" s="639"/>
      <c r="L92" s="871" t="e">
        <f>(L91/K90)*100</f>
        <v>#N/A</v>
      </c>
      <c r="M92" s="639"/>
      <c r="N92" s="871" t="e">
        <f>(N91/M90)*100</f>
        <v>#N/A</v>
      </c>
      <c r="O92" s="639"/>
      <c r="P92" s="871" t="e">
        <f>(P91/O90)*100</f>
        <v>#N/A</v>
      </c>
      <c r="Q92" s="647"/>
      <c r="R92" s="854" t="e">
        <f>(R91/Q90)*100</f>
        <v>#N/A</v>
      </c>
      <c r="S92" s="639"/>
      <c r="T92" s="854" t="e">
        <f>(T91/S90)*100</f>
        <v>#N/A</v>
      </c>
      <c r="U92" s="647"/>
      <c r="V92" s="854" t="e">
        <f>(V91/U90)*100</f>
        <v>#N/A</v>
      </c>
      <c r="W92" s="647"/>
      <c r="X92" s="854" t="e">
        <f>(X91/W90)*100</f>
        <v>#N/A</v>
      </c>
      <c r="Y92" s="647"/>
      <c r="Z92" s="854" t="e">
        <f>(Z91/Y90)*100</f>
        <v>#N/A</v>
      </c>
      <c r="AA92" s="639"/>
      <c r="AB92" s="854" t="e">
        <f>(AB91/AA90)*100</f>
        <v>#N/A</v>
      </c>
      <c r="AC92" s="637"/>
      <c r="AD92" s="854" t="e">
        <f>(AD91/AC90)*100</f>
        <v>#N/A</v>
      </c>
      <c r="AE92" s="647"/>
      <c r="AF92" s="854" t="e">
        <f>(AF91/AE90)*100</f>
        <v>#N/A</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25">
      <c r="A93" s="841" t="s">
        <v>1221</v>
      </c>
      <c r="B93" s="842" t="s">
        <v>1190</v>
      </c>
      <c r="C93" s="872" t="e">
        <f>C85/('Ввод исходных данных'!$G$44+'Ввод исходных данных'!$G$22)</f>
        <v>#N/A</v>
      </c>
      <c r="D93" s="873" t="e">
        <f>D85/('Ввод исходных данных'!$G$44+'Ввод исходных данных'!$G$22)</f>
        <v>#DIV/0!</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75" thickBot="1" x14ac:dyDescent="0.3">
      <c r="A94" s="402" t="s">
        <v>874</v>
      </c>
      <c r="B94" s="414" t="s">
        <v>1209</v>
      </c>
      <c r="C94" s="874" t="e">
        <f>IF('Система ГВС'!F3=2,0,C86/('Ввод исходных данных'!$G$44+'Ввод исходных данных'!D22))</f>
        <v>#N/A</v>
      </c>
      <c r="D94" s="875" t="e">
        <f>D86/('Ввод исходных данных'!$G$44+'Ввод исходных данных'!D22)</f>
        <v>#DIV/0!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75" thickBot="1" x14ac:dyDescent="0.3">
      <c r="A95" s="876" t="s">
        <v>1222</v>
      </c>
      <c r="B95" s="877" t="s">
        <v>789</v>
      </c>
      <c r="C95" s="878" t="e">
        <f>IF('Система ГВС'!F3=2,0,D167*(1-0.4*'Ввод исходных данных'!D20/'Ввод исходных данных'!D19))</f>
        <v>#N/A</v>
      </c>
      <c r="D95" s="879" t="e">
        <f>D90*1000/(365*'Ввод исходных данных'!$D$21)</f>
        <v>#DIV/0!</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5" thickBot="1" x14ac:dyDescent="0.3">
      <c r="A97" s="1775" t="s">
        <v>1186</v>
      </c>
      <c r="B97" s="1775"/>
      <c r="C97" s="1775"/>
      <c r="D97" s="1775"/>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25">
      <c r="A98" s="1787" t="s">
        <v>834</v>
      </c>
      <c r="B98" s="1794" t="s">
        <v>1174</v>
      </c>
      <c r="C98" s="1796" t="s">
        <v>1175</v>
      </c>
      <c r="D98" s="1798" t="s">
        <v>1176</v>
      </c>
      <c r="E98" s="87"/>
      <c r="F98" s="87"/>
      <c r="G98" s="1776" t="s">
        <v>834</v>
      </c>
      <c r="H98" s="1778" t="s">
        <v>1174</v>
      </c>
      <c r="I98" s="1761" t="s">
        <v>488</v>
      </c>
      <c r="J98" s="1762"/>
      <c r="K98" s="1761" t="s">
        <v>489</v>
      </c>
      <c r="L98" s="1762"/>
      <c r="M98" s="1761" t="s">
        <v>490</v>
      </c>
      <c r="N98" s="1762"/>
      <c r="O98" s="1761" t="s">
        <v>491</v>
      </c>
      <c r="P98" s="1762"/>
      <c r="Q98" s="1761" t="s">
        <v>805</v>
      </c>
      <c r="R98" s="1762"/>
      <c r="S98" s="1761" t="s">
        <v>806</v>
      </c>
      <c r="T98" s="1762"/>
      <c r="U98" s="1761" t="s">
        <v>807</v>
      </c>
      <c r="V98" s="1762"/>
      <c r="W98" s="1761" t="s">
        <v>808</v>
      </c>
      <c r="X98" s="1762"/>
      <c r="Y98" s="1761" t="s">
        <v>809</v>
      </c>
      <c r="Z98" s="1762"/>
      <c r="AA98" s="1761" t="s">
        <v>482</v>
      </c>
      <c r="AB98" s="1762"/>
      <c r="AC98" s="1761" t="s">
        <v>486</v>
      </c>
      <c r="AD98" s="1762"/>
      <c r="AE98" s="1761" t="s">
        <v>487</v>
      </c>
      <c r="AF98" s="1762"/>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
      <c r="A99" s="1788"/>
      <c r="B99" s="1795"/>
      <c r="C99" s="1797"/>
      <c r="D99" s="1799"/>
      <c r="E99" s="87"/>
      <c r="F99" s="87"/>
      <c r="G99" s="1777"/>
      <c r="H99" s="1779"/>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25">
      <c r="A100" s="821" t="s">
        <v>1224</v>
      </c>
      <c r="B100" s="880" t="s">
        <v>842</v>
      </c>
      <c r="C100" s="881" t="e">
        <f>C102+C104+C106+C111</f>
        <v>#VALUE!</v>
      </c>
      <c r="D100" s="858">
        <f>'Ввод исходных данных'!Y234*1000</f>
        <v>0</v>
      </c>
      <c r="E100" s="87"/>
      <c r="F100" s="87"/>
      <c r="G100" s="825" t="s">
        <v>1225</v>
      </c>
      <c r="H100" s="882" t="s">
        <v>842</v>
      </c>
      <c r="I100" s="827" t="e">
        <f>I102+I104+I106+I111</f>
        <v>#N/A</v>
      </c>
      <c r="J100" s="883">
        <f>'Ввод исходных данных'!$Y$222*1000</f>
        <v>0</v>
      </c>
      <c r="K100" s="827" t="e">
        <f>K102+K104+K106+K111</f>
        <v>#N/A</v>
      </c>
      <c r="L100" s="883">
        <f>'Ввод исходных данных'!$Y$223*1000</f>
        <v>0</v>
      </c>
      <c r="M100" s="827" t="e">
        <f>M102+M104+M106+M111</f>
        <v>#N/A</v>
      </c>
      <c r="N100" s="883">
        <f>'Ввод исходных данных'!$Y$224*1000</f>
        <v>0</v>
      </c>
      <c r="O100" s="827" t="e">
        <f>O102+O104+O106+O111</f>
        <v>#N/A</v>
      </c>
      <c r="P100" s="883">
        <f>'Ввод исходных данных'!$Y$225*1000</f>
        <v>0</v>
      </c>
      <c r="Q100" s="827" t="e">
        <f>Q102+Q104+Q106+Q111</f>
        <v>#N/A</v>
      </c>
      <c r="R100" s="883">
        <f>'Ввод исходных данных'!$Y$226*1000</f>
        <v>0</v>
      </c>
      <c r="S100" s="827" t="e">
        <f>S102+S104+S106+S111</f>
        <v>#N/A</v>
      </c>
      <c r="T100" s="883">
        <f>'Ввод исходных данных'!$Y$227*1000</f>
        <v>0</v>
      </c>
      <c r="U100" s="827" t="e">
        <f>U102+U104+U106+U111</f>
        <v>#N/A</v>
      </c>
      <c r="V100" s="883">
        <f>'Ввод исходных данных'!$Y$228*1000</f>
        <v>0</v>
      </c>
      <c r="W100" s="827" t="e">
        <f>W102+W104+W106+W111</f>
        <v>#N/A</v>
      </c>
      <c r="X100" s="883">
        <f>'Ввод исходных данных'!$Y$229*1000</f>
        <v>0</v>
      </c>
      <c r="Y100" s="827" t="e">
        <f>Y102+Y104+Y106+Y111</f>
        <v>#N/A</v>
      </c>
      <c r="Z100" s="883">
        <f>'Ввод исходных данных'!$Y$230*1000</f>
        <v>0</v>
      </c>
      <c r="AA100" s="827" t="e">
        <f>AA102+AA104+AA106+AA111</f>
        <v>#N/A</v>
      </c>
      <c r="AB100" s="883">
        <f>'Ввод исходных данных'!$Y$231*1000</f>
        <v>0</v>
      </c>
      <c r="AC100" s="827" t="e">
        <f>AC102+AC104+AC106+AC111</f>
        <v>#N/A</v>
      </c>
      <c r="AD100" s="883">
        <f>'Ввод исходных данных'!$Y$232*1000</f>
        <v>0</v>
      </c>
      <c r="AE100" s="827" t="e">
        <f>AE102+AE104+AE106+AE111</f>
        <v>#N/A</v>
      </c>
      <c r="AF100" s="883">
        <f>'Ввод исходных данных'!$Y$233*1000</f>
        <v>0</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95" customHeight="1" x14ac:dyDescent="0.25">
      <c r="A101" s="884" t="s">
        <v>874</v>
      </c>
      <c r="B101" s="885" t="s">
        <v>1181</v>
      </c>
      <c r="C101" s="886" t="e">
        <f>C100/$C$100</f>
        <v>#VALUE!</v>
      </c>
      <c r="D101" s="887" t="e">
        <f>D100/$D$100</f>
        <v>#DIV/0!</v>
      </c>
      <c r="E101" s="87"/>
      <c r="F101" s="87"/>
      <c r="G101" s="888" t="s">
        <v>874</v>
      </c>
      <c r="H101" s="889" t="s">
        <v>1181</v>
      </c>
      <c r="I101" s="890" t="e">
        <f>I103+I105+I107+I112</f>
        <v>#N/A</v>
      </c>
      <c r="J101" s="891" t="e">
        <f>J103+J105+J107+J112</f>
        <v>#DIV/0!</v>
      </c>
      <c r="K101" s="890" t="e">
        <f>K103+K105+K107+K112</f>
        <v>#N/A</v>
      </c>
      <c r="L101" s="891" t="e">
        <f>L103+L105+L107+L112</f>
        <v>#DIV/0!</v>
      </c>
      <c r="M101" s="890" t="e">
        <f>M103+M105+M107+M112</f>
        <v>#N/A</v>
      </c>
      <c r="N101" s="891" t="e">
        <f>N103+N105+N107+N112</f>
        <v>#DIV/0!</v>
      </c>
      <c r="O101" s="890" t="e">
        <f>O103+O105+O107+O112</f>
        <v>#N/A</v>
      </c>
      <c r="P101" s="891" t="e">
        <f>P103+P105+P107+P112</f>
        <v>#DIV/0!</v>
      </c>
      <c r="Q101" s="890" t="e">
        <f>Q103+Q105+Q107+Q112</f>
        <v>#N/A</v>
      </c>
      <c r="R101" s="891" t="e">
        <f>R103+R105+R107+R112</f>
        <v>#DIV/0!</v>
      </c>
      <c r="S101" s="890" t="e">
        <f>S103+S105+S107+S112</f>
        <v>#N/A</v>
      </c>
      <c r="T101" s="891" t="e">
        <f>T103+T105+T107+T112</f>
        <v>#DIV/0!</v>
      </c>
      <c r="U101" s="890" t="e">
        <f>U103+U105+U107+U112</f>
        <v>#N/A</v>
      </c>
      <c r="V101" s="891" t="e">
        <f>V103+V105+V107+V112</f>
        <v>#DIV/0!</v>
      </c>
      <c r="W101" s="890" t="e">
        <f>W103+W105+W107+W112</f>
        <v>#N/A</v>
      </c>
      <c r="X101" s="891" t="e">
        <f>X103+X105+X107+X112</f>
        <v>#DIV/0!</v>
      </c>
      <c r="Y101" s="890" t="e">
        <f>Y103+Y105+Y107+Y112</f>
        <v>#N/A</v>
      </c>
      <c r="Z101" s="891" t="e">
        <f>Z103+Z105+Z107+Z112</f>
        <v>#DIV/0!</v>
      </c>
      <c r="AA101" s="890" t="e">
        <f>AA103+AA105+AA107+AA112</f>
        <v>#N/A</v>
      </c>
      <c r="AB101" s="891" t="e">
        <f>AB103+AB105+AB107+AB112</f>
        <v>#DIV/0!</v>
      </c>
      <c r="AC101" s="890" t="e">
        <f>AC103+AC105+AC107+AC112</f>
        <v>#N/A</v>
      </c>
      <c r="AD101" s="891" t="e">
        <f>AD103+AD105+AD107+AD112</f>
        <v>#DIV/0!</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25">
      <c r="A102" s="893" t="s">
        <v>1226</v>
      </c>
      <c r="B102" s="894" t="s">
        <v>842</v>
      </c>
      <c r="C102" s="895">
        <f>SUM('Система электроснабжения'!B18:B22)</f>
        <v>0</v>
      </c>
      <c r="D102" s="896">
        <f>'Ввод исходных данных'!Z234*1000</f>
        <v>0</v>
      </c>
      <c r="E102" s="87"/>
      <c r="F102" s="87"/>
      <c r="G102" s="897" t="s">
        <v>1226</v>
      </c>
      <c r="H102" s="898" t="s">
        <v>842</v>
      </c>
      <c r="I102" s="899">
        <f>$C$102/12</f>
        <v>0</v>
      </c>
      <c r="J102" s="892">
        <f>'Ввод исходных данных'!$Z$222*1000</f>
        <v>0</v>
      </c>
      <c r="K102" s="899">
        <f>$C$102/12</f>
        <v>0</v>
      </c>
      <c r="L102" s="892">
        <f>'Ввод исходных данных'!$Z$223*1000</f>
        <v>0</v>
      </c>
      <c r="M102" s="899">
        <f>$C$102/12</f>
        <v>0</v>
      </c>
      <c r="N102" s="892">
        <f>'Ввод исходных данных'!$Z$224*1000</f>
        <v>0</v>
      </c>
      <c r="O102" s="899">
        <f>$C$102/12</f>
        <v>0</v>
      </c>
      <c r="P102" s="892">
        <f>'Ввод исходных данных'!$Z$225*1000</f>
        <v>0</v>
      </c>
      <c r="Q102" s="899">
        <f>$C$102/12</f>
        <v>0</v>
      </c>
      <c r="R102" s="892">
        <f>'Ввод исходных данных'!$Z$226*1000</f>
        <v>0</v>
      </c>
      <c r="S102" s="899">
        <f>$C$102/12</f>
        <v>0</v>
      </c>
      <c r="T102" s="892">
        <f>'Ввод исходных данных'!$Z$227*1000</f>
        <v>0</v>
      </c>
      <c r="U102" s="899">
        <f>$C$102/12</f>
        <v>0</v>
      </c>
      <c r="V102" s="892">
        <f>'Ввод исходных данных'!$Z$228*1000</f>
        <v>0</v>
      </c>
      <c r="W102" s="899">
        <f>$C$102/12</f>
        <v>0</v>
      </c>
      <c r="X102" s="892">
        <f>'Ввод исходных данных'!$Z$229*1000</f>
        <v>0</v>
      </c>
      <c r="Y102" s="899">
        <f>$C$102/12</f>
        <v>0</v>
      </c>
      <c r="Z102" s="892">
        <f>'Ввод исходных данных'!$Z$230*1000</f>
        <v>0</v>
      </c>
      <c r="AA102" s="899">
        <f>$C$102/12</f>
        <v>0</v>
      </c>
      <c r="AB102" s="892">
        <f>'Ввод исходных данных'!$Z$231*1000</f>
        <v>0</v>
      </c>
      <c r="AC102" s="899">
        <f>$C$102/12</f>
        <v>0</v>
      </c>
      <c r="AD102" s="892">
        <f>'Ввод исходных данных'!$Z$232*1000</f>
        <v>0</v>
      </c>
      <c r="AE102" s="899">
        <f>$C$102/12</f>
        <v>0</v>
      </c>
      <c r="AF102" s="892">
        <f>'Ввод исходных данных'!$Z$233*1000</f>
        <v>0</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25">
      <c r="A103" s="375" t="s">
        <v>874</v>
      </c>
      <c r="B103" s="894" t="s">
        <v>1181</v>
      </c>
      <c r="C103" s="900" t="e">
        <f>C102/$C$100</f>
        <v>#VALUE!</v>
      </c>
      <c r="D103" s="901" t="e">
        <f>D102/$D$100</f>
        <v>#DIV/0!</v>
      </c>
      <c r="E103" s="87"/>
      <c r="F103" s="87"/>
      <c r="G103" s="556" t="s">
        <v>874</v>
      </c>
      <c r="H103" s="898" t="s">
        <v>1181</v>
      </c>
      <c r="I103" s="899" t="e">
        <f t="shared" ref="I103:AF103" si="194">(I102/I100)*100</f>
        <v>#N/A</v>
      </c>
      <c r="J103" s="902" t="e">
        <f t="shared" si="194"/>
        <v>#DIV/0!</v>
      </c>
      <c r="K103" s="903" t="e">
        <f t="shared" si="194"/>
        <v>#N/A</v>
      </c>
      <c r="L103" s="904" t="e">
        <f t="shared" si="194"/>
        <v>#DIV/0!</v>
      </c>
      <c r="M103" s="903" t="e">
        <f t="shared" si="194"/>
        <v>#N/A</v>
      </c>
      <c r="N103" s="904" t="e">
        <f t="shared" si="194"/>
        <v>#DIV/0!</v>
      </c>
      <c r="O103" s="903" t="e">
        <f t="shared" si="194"/>
        <v>#N/A</v>
      </c>
      <c r="P103" s="904" t="e">
        <f t="shared" si="194"/>
        <v>#DIV/0!</v>
      </c>
      <c r="Q103" s="903" t="e">
        <f t="shared" si="194"/>
        <v>#N/A</v>
      </c>
      <c r="R103" s="904" t="e">
        <f t="shared" si="194"/>
        <v>#DIV/0!</v>
      </c>
      <c r="S103" s="903" t="e">
        <f t="shared" si="194"/>
        <v>#N/A</v>
      </c>
      <c r="T103" s="904" t="e">
        <f t="shared" si="194"/>
        <v>#DIV/0!</v>
      </c>
      <c r="U103" s="903" t="e">
        <f t="shared" si="194"/>
        <v>#N/A</v>
      </c>
      <c r="V103" s="904" t="e">
        <f t="shared" si="194"/>
        <v>#DIV/0!</v>
      </c>
      <c r="W103" s="903" t="e">
        <f t="shared" si="194"/>
        <v>#N/A</v>
      </c>
      <c r="X103" s="904" t="e">
        <f t="shared" si="194"/>
        <v>#DIV/0!</v>
      </c>
      <c r="Y103" s="903" t="e">
        <f t="shared" si="194"/>
        <v>#N/A</v>
      </c>
      <c r="Z103" s="904" t="e">
        <f t="shared" si="194"/>
        <v>#DIV/0!</v>
      </c>
      <c r="AA103" s="903" t="e">
        <f t="shared" si="194"/>
        <v>#N/A</v>
      </c>
      <c r="AB103" s="904" t="e">
        <f t="shared" si="194"/>
        <v>#DIV/0!</v>
      </c>
      <c r="AC103" s="903" t="e">
        <f t="shared" si="194"/>
        <v>#N/A</v>
      </c>
      <c r="AD103" s="904" t="e">
        <f t="shared" si="194"/>
        <v>#DIV/0!</v>
      </c>
      <c r="AE103" s="903" t="e">
        <f t="shared" si="194"/>
        <v>#N/A</v>
      </c>
      <c r="AF103" s="904" t="e">
        <f t="shared" si="194"/>
        <v>#DIV/0!</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25">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25">
      <c r="A105" s="375" t="s">
        <v>874</v>
      </c>
      <c r="B105" s="894" t="s">
        <v>1181</v>
      </c>
      <c r="C105" s="900" t="e">
        <f>C104/$C$100</f>
        <v>#VALUE!</v>
      </c>
      <c r="D105" s="901" t="e">
        <f>D104/$D$100</f>
        <v>#DIV/0!</v>
      </c>
      <c r="E105" s="87"/>
      <c r="F105" s="87"/>
      <c r="G105" s="556" t="s">
        <v>874</v>
      </c>
      <c r="H105" s="898" t="s">
        <v>1181</v>
      </c>
      <c r="I105" s="899" t="e">
        <f t="shared" ref="I105:AF105" si="195">(I104/I100)*100</f>
        <v>#N/A</v>
      </c>
      <c r="J105" s="902" t="e">
        <f t="shared" si="195"/>
        <v>#DIV/0!</v>
      </c>
      <c r="K105" s="903" t="e">
        <f t="shared" si="195"/>
        <v>#N/A</v>
      </c>
      <c r="L105" s="904" t="e">
        <f t="shared" si="195"/>
        <v>#DIV/0!</v>
      </c>
      <c r="M105" s="903" t="e">
        <f t="shared" si="195"/>
        <v>#N/A</v>
      </c>
      <c r="N105" s="904" t="e">
        <f t="shared" si="195"/>
        <v>#DIV/0!</v>
      </c>
      <c r="O105" s="903" t="e">
        <f t="shared" si="195"/>
        <v>#N/A</v>
      </c>
      <c r="P105" s="904" t="e">
        <f t="shared" si="195"/>
        <v>#DIV/0!</v>
      </c>
      <c r="Q105" s="903" t="e">
        <f t="shared" si="195"/>
        <v>#N/A</v>
      </c>
      <c r="R105" s="904" t="e">
        <f t="shared" si="195"/>
        <v>#DIV/0!</v>
      </c>
      <c r="S105" s="903" t="e">
        <f t="shared" si="195"/>
        <v>#N/A</v>
      </c>
      <c r="T105" s="904" t="e">
        <f t="shared" si="195"/>
        <v>#DIV/0!</v>
      </c>
      <c r="U105" s="903" t="e">
        <f t="shared" si="195"/>
        <v>#N/A</v>
      </c>
      <c r="V105" s="904" t="e">
        <f t="shared" si="195"/>
        <v>#DIV/0!</v>
      </c>
      <c r="W105" s="903" t="e">
        <f t="shared" si="195"/>
        <v>#N/A</v>
      </c>
      <c r="X105" s="904" t="e">
        <f t="shared" si="195"/>
        <v>#DIV/0!</v>
      </c>
      <c r="Y105" s="903" t="e">
        <f t="shared" si="195"/>
        <v>#N/A</v>
      </c>
      <c r="Z105" s="904" t="e">
        <f t="shared" si="195"/>
        <v>#DIV/0!</v>
      </c>
      <c r="AA105" s="903" t="e">
        <f t="shared" si="195"/>
        <v>#N/A</v>
      </c>
      <c r="AB105" s="904" t="e">
        <f t="shared" si="195"/>
        <v>#DIV/0!</v>
      </c>
      <c r="AC105" s="903" t="e">
        <f t="shared" si="195"/>
        <v>#N/A</v>
      </c>
      <c r="AD105" s="904" t="e">
        <f t="shared" si="195"/>
        <v>#DIV/0!</v>
      </c>
      <c r="AE105" s="903" t="e">
        <f t="shared" si="195"/>
        <v>#N/A</v>
      </c>
      <c r="AF105" s="904" t="e">
        <f t="shared" si="195"/>
        <v>#DIV/0!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25">
      <c r="A106" s="893" t="s">
        <v>1235</v>
      </c>
      <c r="B106" s="894" t="s">
        <v>842</v>
      </c>
      <c r="C106" s="895" t="e">
        <f>C108+C109+C110</f>
        <v>#VALUE!</v>
      </c>
      <c r="D106" s="896">
        <f>'Ввод исходных данных'!AB234*1000</f>
        <v>0</v>
      </c>
      <c r="E106" s="87"/>
      <c r="F106" s="87"/>
      <c r="G106" s="897" t="s">
        <v>1234</v>
      </c>
      <c r="H106" s="898" t="s">
        <v>842</v>
      </c>
      <c r="I106" s="895" t="e">
        <f>I108+I109+I110</f>
        <v>#N/A</v>
      </c>
      <c r="J106" s="892">
        <f>'Ввод исходных данных'!$AB$222*1000</f>
        <v>0</v>
      </c>
      <c r="K106" s="895" t="e">
        <f>K108+K109+K110</f>
        <v>#N/A</v>
      </c>
      <c r="L106" s="892">
        <f>'Ввод исходных данных'!$AB$223*1000</f>
        <v>0</v>
      </c>
      <c r="M106" s="895" t="e">
        <f>M108+M109+M110</f>
        <v>#N/A</v>
      </c>
      <c r="N106" s="892">
        <f>'Ввод исходных данных'!$AB$224*1000</f>
        <v>0</v>
      </c>
      <c r="O106" s="895" t="e">
        <f>O108+O109+O110</f>
        <v>#N/A</v>
      </c>
      <c r="P106" s="892">
        <f>'Ввод исходных данных'!$AB$225*1000</f>
        <v>0</v>
      </c>
      <c r="Q106" s="895" t="e">
        <f>Q108+Q109+Q110</f>
        <v>#N/A</v>
      </c>
      <c r="R106" s="892">
        <f>'Ввод исходных данных'!$AB$226*1000</f>
        <v>0</v>
      </c>
      <c r="S106" s="895" t="e">
        <f>S108+S109+S110</f>
        <v>#N/A</v>
      </c>
      <c r="T106" s="892">
        <f>'Ввод исходных данных'!$AB$227*1000</f>
        <v>0</v>
      </c>
      <c r="U106" s="895" t="e">
        <f>U108+U109+U110</f>
        <v>#N/A</v>
      </c>
      <c r="V106" s="892">
        <f>'Ввод исходных данных'!$AB$228*1000</f>
        <v>0</v>
      </c>
      <c r="W106" s="895" t="e">
        <f>W108+W109+W110</f>
        <v>#N/A</v>
      </c>
      <c r="X106" s="892">
        <f>'Ввод исходных данных'!$AB$229*1000</f>
        <v>0</v>
      </c>
      <c r="Y106" s="895" t="e">
        <f>Y108+Y109+Y110</f>
        <v>#N/A</v>
      </c>
      <c r="Z106" s="892">
        <f>'Ввод исходных данных'!$AB$230*1000</f>
        <v>0</v>
      </c>
      <c r="AA106" s="895" t="e">
        <f>AA108+AA109+AA110</f>
        <v>#N/A</v>
      </c>
      <c r="AB106" s="892">
        <f>'Ввод исходных данных'!$AB$231*1000</f>
        <v>0</v>
      </c>
      <c r="AC106" s="895" t="e">
        <f>AC108+AC109+AC110</f>
        <v>#N/A</v>
      </c>
      <c r="AD106" s="892">
        <f>'Ввод исходных данных'!$AB$232*1000</f>
        <v>0</v>
      </c>
      <c r="AE106" s="905" t="e">
        <f>'Ввод исходных данных'!$D$145*'Расчет базового уровня'!$R$146*24+'Ввод исходных данных'!$D$149*'Расчет базового уровня'!$R$170*24+'Ввод исходных данных'!$D$153*'Расчет базового уровня'!$R$165*24</f>
        <v>#N/A</v>
      </c>
      <c r="AF106" s="892">
        <f>'Ввод исходных данных'!$AB$233*1000</f>
        <v>0</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25">
      <c r="A107" s="375" t="s">
        <v>874</v>
      </c>
      <c r="B107" s="894" t="s">
        <v>1181</v>
      </c>
      <c r="C107" s="900" t="e">
        <f>C106/$C$100</f>
        <v>#VALUE!</v>
      </c>
      <c r="D107" s="901" t="e">
        <f>D106/$D$100</f>
        <v>#DIV/0!</v>
      </c>
      <c r="E107" s="87"/>
      <c r="F107" s="87"/>
      <c r="G107" s="556" t="s">
        <v>874</v>
      </c>
      <c r="H107" s="898" t="s">
        <v>1181</v>
      </c>
      <c r="I107" s="903" t="e">
        <f t="shared" ref="I107:AF107" si="196">(I106/I100)*100</f>
        <v>#N/A</v>
      </c>
      <c r="J107" s="904" t="e">
        <f t="shared" si="196"/>
        <v>#DIV/0!</v>
      </c>
      <c r="K107" s="903" t="e">
        <f t="shared" si="196"/>
        <v>#N/A</v>
      </c>
      <c r="L107" s="904" t="e">
        <f t="shared" si="196"/>
        <v>#DIV/0!</v>
      </c>
      <c r="M107" s="903" t="e">
        <f t="shared" si="196"/>
        <v>#N/A</v>
      </c>
      <c r="N107" s="904" t="e">
        <f t="shared" si="196"/>
        <v>#DIV/0!</v>
      </c>
      <c r="O107" s="903" t="e">
        <f t="shared" si="196"/>
        <v>#N/A</v>
      </c>
      <c r="P107" s="904" t="e">
        <f t="shared" si="196"/>
        <v>#DIV/0!</v>
      </c>
      <c r="Q107" s="903" t="e">
        <f t="shared" si="196"/>
        <v>#N/A</v>
      </c>
      <c r="R107" s="904" t="e">
        <f t="shared" si="196"/>
        <v>#DIV/0!</v>
      </c>
      <c r="S107" s="903" t="e">
        <f t="shared" si="196"/>
        <v>#N/A</v>
      </c>
      <c r="T107" s="904" t="e">
        <f t="shared" si="196"/>
        <v>#DIV/0!</v>
      </c>
      <c r="U107" s="903" t="e">
        <f t="shared" si="196"/>
        <v>#N/A</v>
      </c>
      <c r="V107" s="904" t="e">
        <f t="shared" si="196"/>
        <v>#DIV/0!</v>
      </c>
      <c r="W107" s="903" t="e">
        <f t="shared" si="196"/>
        <v>#N/A</v>
      </c>
      <c r="X107" s="904" t="e">
        <f t="shared" si="196"/>
        <v>#DIV/0!</v>
      </c>
      <c r="Y107" s="903" t="e">
        <f t="shared" si="196"/>
        <v>#N/A</v>
      </c>
      <c r="Z107" s="904" t="e">
        <f t="shared" si="196"/>
        <v>#DIV/0!</v>
      </c>
      <c r="AA107" s="903" t="e">
        <f t="shared" si="196"/>
        <v>#N/A</v>
      </c>
      <c r="AB107" s="904" t="e">
        <f t="shared" si="196"/>
        <v>#DIV/0!</v>
      </c>
      <c r="AC107" s="903" t="e">
        <f t="shared" si="196"/>
        <v>#N/A</v>
      </c>
      <c r="AD107" s="904" t="e">
        <f t="shared" si="196"/>
        <v>#DIV/0!</v>
      </c>
      <c r="AE107" s="903" t="e">
        <f t="shared" si="196"/>
        <v>#N/A</v>
      </c>
      <c r="AF107" s="904" t="e">
        <f t="shared" si="196"/>
        <v>#DIV/0!</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25">
      <c r="A108" s="375" t="s">
        <v>1358</v>
      </c>
      <c r="B108" s="894" t="s">
        <v>842</v>
      </c>
      <c r="C108" s="906" t="e">
        <f>'Ввод исходных данных'!D145*'Ввод исходных данных'!D146</f>
        <v>#VALUE!</v>
      </c>
      <c r="D108" s="907">
        <f>'Ввод исходных данных'!AC234*1000</f>
        <v>0</v>
      </c>
      <c r="E108" s="436"/>
      <c r="F108" s="87"/>
      <c r="G108" s="375" t="s">
        <v>1358</v>
      </c>
      <c r="H108" s="894" t="s">
        <v>842</v>
      </c>
      <c r="I108" s="903" t="e">
        <f>'Ввод исходных данных'!$D$145*'Расчет базового уровня'!$G$146*24</f>
        <v>#N/A</v>
      </c>
      <c r="J108" s="904"/>
      <c r="K108" s="903" t="e">
        <f>'Ввод исходных данных'!$D$145*'Расчет базового уровня'!$H$146*24</f>
        <v>#N/A</v>
      </c>
      <c r="L108" s="904"/>
      <c r="M108" s="903" t="e">
        <f>'Ввод исходных данных'!$D$145*'Расчет базового уровня'!$I$146*24</f>
        <v>#N/A</v>
      </c>
      <c r="N108" s="904"/>
      <c r="O108" s="905" t="e">
        <f>'Ввод исходных данных'!$D$145*'Расчет базового уровня'!$J$146*24</f>
        <v>#N/A</v>
      </c>
      <c r="P108" s="904"/>
      <c r="Q108" s="905" t="e">
        <f>'Ввод исходных данных'!$D$145*'Расчет базового уровня'!$K$146*24</f>
        <v>#N/A</v>
      </c>
      <c r="R108" s="904"/>
      <c r="S108" s="905" t="e">
        <f>'Ввод исходных данных'!$D$145*'Расчет базового уровня'!$L$146*24</f>
        <v>#N/A</v>
      </c>
      <c r="T108" s="904"/>
      <c r="U108" s="905" t="e">
        <f>'Ввод исходных данных'!$D$145*'Расчет базового уровня'!$M$146*24</f>
        <v>#N/A</v>
      </c>
      <c r="V108" s="904"/>
      <c r="W108" s="905" t="e">
        <f>'Ввод исходных данных'!$D$145*'Расчет базового уровня'!$N$146*24</f>
        <v>#N/A</v>
      </c>
      <c r="X108" s="904"/>
      <c r="Y108" s="905" t="e">
        <f>'Ввод исходных данных'!$D$145*'Расчет базового уровня'!$O$146*24</f>
        <v>#N/A</v>
      </c>
      <c r="Z108" s="904"/>
      <c r="AA108" s="905" t="e">
        <f>'Ввод исходных данных'!$D$145*'Расчет базового уровня'!$P$146*24</f>
        <v>#N/A</v>
      </c>
      <c r="AB108" s="904"/>
      <c r="AC108" s="905" t="e">
        <f>'Ввод исходных данных'!$D$145*'Расчет базового уровня'!$Q$146*24</f>
        <v>#N/A</v>
      </c>
      <c r="AD108" s="904"/>
      <c r="AE108" s="903" t="e">
        <f>'Ввод исходных данных'!$D$145*'Расчет базового уровня'!$R$146*24</f>
        <v>#N/A</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25">
      <c r="A109" s="375" t="s">
        <v>1421</v>
      </c>
      <c r="B109" s="894" t="s">
        <v>842</v>
      </c>
      <c r="C109" s="906">
        <f>'Ввод исходных данных'!D149*'Ввод исходных данных'!D150</f>
        <v>0</v>
      </c>
      <c r="D109" s="907">
        <f>'Ввод исходных данных'!AD234*1000</f>
        <v>0</v>
      </c>
      <c r="E109" s="87"/>
      <c r="F109" s="87"/>
      <c r="G109" s="375" t="s">
        <v>1421</v>
      </c>
      <c r="H109" s="894" t="s">
        <v>842</v>
      </c>
      <c r="I109" s="903">
        <f>'Ввод исходных данных'!$D$149*'Расчет базового уровня'!$G$170*24</f>
        <v>0</v>
      </c>
      <c r="J109" s="904"/>
      <c r="K109" s="903">
        <f>'Ввод исходных данных'!$D$149*'Расчет базового уровня'!$H$170*24</f>
        <v>0</v>
      </c>
      <c r="L109" s="904"/>
      <c r="M109" s="903">
        <f>'Ввод исходных данных'!$D$149*'Расчет базового уровня'!$I$170*24</f>
        <v>0</v>
      </c>
      <c r="N109" s="904"/>
      <c r="O109" s="905">
        <f>'Ввод исходных данных'!$D$149*'Расчет базового уровня'!$J$170*24</f>
        <v>0</v>
      </c>
      <c r="P109" s="904"/>
      <c r="Q109" s="905">
        <f>'Ввод исходных данных'!$D$149*'Расчет базового уровня'!$K$170*24</f>
        <v>0</v>
      </c>
      <c r="R109" s="904"/>
      <c r="S109" s="905">
        <f>'Ввод исходных данных'!$D$149*'Расчет базового уровня'!$L$170*24</f>
        <v>0</v>
      </c>
      <c r="T109" s="904"/>
      <c r="U109" s="905">
        <f>'Ввод исходных данных'!$D$149*'Расчет базового уровня'!$M$170*24</f>
        <v>0</v>
      </c>
      <c r="V109" s="904"/>
      <c r="W109" s="905">
        <f>'Ввод исходных данных'!$D$149*'Расчет базового уровня'!$N$170*24</f>
        <v>0</v>
      </c>
      <c r="X109" s="904"/>
      <c r="Y109" s="905">
        <f>'Ввод исходных данных'!$D$149*'Расчет базового уровня'!$O$170*24</f>
        <v>0</v>
      </c>
      <c r="Z109" s="904"/>
      <c r="AA109" s="905">
        <f>'Ввод исходных данных'!$D$149*'Расчет базового уровня'!$P$170*24</f>
        <v>0</v>
      </c>
      <c r="AB109" s="904"/>
      <c r="AC109" s="905">
        <f>'Ввод исходных данных'!$D$149*'Расчет базового уровня'!$Q$170*24</f>
        <v>0</v>
      </c>
      <c r="AD109" s="904"/>
      <c r="AE109" s="903">
        <f>'Ввод исходных данных'!$D$149*'Расчет базового уровня'!$R$170*24</f>
        <v>0</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25">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25">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
      <c r="A112" s="402" t="s">
        <v>874</v>
      </c>
      <c r="B112" s="615" t="s">
        <v>1181</v>
      </c>
      <c r="C112" s="908" t="e">
        <f>C111/$C$100</f>
        <v>#VALUE!</v>
      </c>
      <c r="D112" s="909" t="e">
        <f>D111/$C$100</f>
        <v>#VALUE!</v>
      </c>
      <c r="E112" s="87"/>
      <c r="F112" s="87"/>
      <c r="G112" s="850" t="s">
        <v>874</v>
      </c>
      <c r="H112" s="910" t="s">
        <v>1181</v>
      </c>
      <c r="I112" s="911" t="e">
        <f t="shared" ref="I112:AB112" si="197">(I111/I100)*100</f>
        <v>#N/A</v>
      </c>
      <c r="J112" s="912" t="e">
        <f t="shared" si="197"/>
        <v>#DIV/0!</v>
      </c>
      <c r="K112" s="911" t="e">
        <f t="shared" si="197"/>
        <v>#N/A</v>
      </c>
      <c r="L112" s="912" t="e">
        <f t="shared" si="197"/>
        <v>#DIV/0!</v>
      </c>
      <c r="M112" s="913" t="e">
        <f t="shared" si="197"/>
        <v>#N/A</v>
      </c>
      <c r="N112" s="896" t="e">
        <f t="shared" si="197"/>
        <v>#DIV/0!</v>
      </c>
      <c r="O112" s="913" t="e">
        <f t="shared" si="197"/>
        <v>#N/A</v>
      </c>
      <c r="P112" s="896" t="e">
        <f t="shared" si="197"/>
        <v>#DIV/0!</v>
      </c>
      <c r="Q112" s="913" t="e">
        <f t="shared" si="197"/>
        <v>#N/A</v>
      </c>
      <c r="R112" s="896" t="e">
        <f t="shared" si="197"/>
        <v>#DIV/0!</v>
      </c>
      <c r="S112" s="913" t="e">
        <f t="shared" si="197"/>
        <v>#N/A</v>
      </c>
      <c r="T112" s="896" t="e">
        <f t="shared" si="197"/>
        <v>#DIV/0!</v>
      </c>
      <c r="U112" s="911" t="e">
        <f t="shared" si="197"/>
        <v>#N/A</v>
      </c>
      <c r="V112" s="912" t="e">
        <f t="shared" si="197"/>
        <v>#DIV/0!</v>
      </c>
      <c r="W112" s="911" t="e">
        <f t="shared" si="197"/>
        <v>#N/A</v>
      </c>
      <c r="X112" s="912" t="e">
        <f t="shared" si="197"/>
        <v>#DIV/0!</v>
      </c>
      <c r="Y112" s="911" t="e">
        <f t="shared" si="197"/>
        <v>#N/A</v>
      </c>
      <c r="Z112" s="912" t="e">
        <f t="shared" si="197"/>
        <v>#DIV/0!</v>
      </c>
      <c r="AA112" s="911" t="e">
        <f t="shared" si="197"/>
        <v>#N/A</v>
      </c>
      <c r="AB112" s="912" t="e">
        <f t="shared" si="197"/>
        <v>#DIV/0!</v>
      </c>
      <c r="AC112" s="903" t="e">
        <f>(AC111/AC102)*100</f>
        <v>#DIV/0!</v>
      </c>
      <c r="AD112" s="904" t="e">
        <f>(AD111/AD102)*100</f>
        <v>#DIV/0!</v>
      </c>
      <c r="AE112" s="903" t="e">
        <f>(AE111/AE102)*100</f>
        <v>#DIV/0!</v>
      </c>
      <c r="AF112" s="904" t="e">
        <f>(AF111/AF102)*100</f>
        <v>#DIV/0!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25">
      <c r="A113" s="841" t="s">
        <v>1228</v>
      </c>
      <c r="B113" s="842" t="s">
        <v>842</v>
      </c>
      <c r="C113" s="675"/>
      <c r="D113" s="555" t="e">
        <f>D100-C100</f>
        <v>#VALUE!</v>
      </c>
      <c r="E113" s="87"/>
      <c r="F113" s="87"/>
      <c r="G113" s="841" t="s">
        <v>1229</v>
      </c>
      <c r="H113" s="914" t="s">
        <v>842</v>
      </c>
      <c r="I113" s="915"/>
      <c r="J113" s="916" t="e">
        <f>J100-I100</f>
        <v>#N/A</v>
      </c>
      <c r="K113" s="917"/>
      <c r="L113" s="918" t="e">
        <f>L100-K100</f>
        <v>#N/A</v>
      </c>
      <c r="M113" s="919"/>
      <c r="N113" s="920" t="e">
        <f>N100-M100</f>
        <v>#N/A</v>
      </c>
      <c r="O113" s="921"/>
      <c r="P113" s="920" t="e">
        <f>P100-O100</f>
        <v>#N/A</v>
      </c>
      <c r="Q113" s="919"/>
      <c r="R113" s="920" t="e">
        <f>R100-Q100</f>
        <v>#N/A</v>
      </c>
      <c r="S113" s="919"/>
      <c r="T113" s="920" t="e">
        <f>T100-S100</f>
        <v>#N/A</v>
      </c>
      <c r="U113" s="919"/>
      <c r="V113" s="920" t="e">
        <f>V100-U100</f>
        <v>#N/A</v>
      </c>
      <c r="W113" s="919"/>
      <c r="X113" s="920" t="e">
        <f>X100-W100</f>
        <v>#N/A</v>
      </c>
      <c r="Y113" s="919"/>
      <c r="Z113" s="920" t="e">
        <f>Z100-Y100</f>
        <v>#N/A</v>
      </c>
      <c r="AA113" s="919"/>
      <c r="AB113" s="920" t="e">
        <f>AB100-AA100</f>
        <v>#N/A</v>
      </c>
      <c r="AC113" s="919"/>
      <c r="AD113" s="920" t="e">
        <f>AD100-AC100</f>
        <v>#N/A</v>
      </c>
      <c r="AE113" s="919"/>
      <c r="AF113" s="920" t="e">
        <f>AF100-AE100</f>
        <v>#N/A</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75" thickBot="1" x14ac:dyDescent="0.3">
      <c r="A114" s="402" t="s">
        <v>874</v>
      </c>
      <c r="B114" s="403" t="s">
        <v>1181</v>
      </c>
      <c r="C114" s="922"/>
      <c r="D114" s="923" t="e">
        <f>(D113/C100)*100</f>
        <v>#VALUE!</v>
      </c>
      <c r="E114" s="87"/>
      <c r="F114" s="87"/>
      <c r="G114" s="402" t="s">
        <v>874</v>
      </c>
      <c r="H114" s="924" t="s">
        <v>1181</v>
      </c>
      <c r="I114" s="925"/>
      <c r="J114" s="926" t="e">
        <f>(J113/I100)*100</f>
        <v>#N/A</v>
      </c>
      <c r="K114" s="925"/>
      <c r="L114" s="926" t="e">
        <f>(L113/K100)*100</f>
        <v>#N/A</v>
      </c>
      <c r="M114" s="911"/>
      <c r="N114" s="923" t="e">
        <f>(N113/M100)*100</f>
        <v>#N/A</v>
      </c>
      <c r="O114" s="911"/>
      <c r="P114" s="923" t="e">
        <f>(P113/O100)*100</f>
        <v>#N/A</v>
      </c>
      <c r="Q114" s="911"/>
      <c r="R114" s="923" t="e">
        <f>(R113/Q100)*100</f>
        <v>#N/A</v>
      </c>
      <c r="S114" s="911"/>
      <c r="T114" s="923" t="e">
        <f>(T113/S100)*100</f>
        <v>#N/A</v>
      </c>
      <c r="U114" s="911"/>
      <c r="V114" s="923" t="e">
        <f>(V113/U100)*100</f>
        <v>#N/A</v>
      </c>
      <c r="W114" s="911"/>
      <c r="X114" s="923" t="e">
        <f>(X113/W100)*100</f>
        <v>#N/A</v>
      </c>
      <c r="Y114" s="911"/>
      <c r="Z114" s="923" t="e">
        <f>(Z113/Y100)*100</f>
        <v>#N/A</v>
      </c>
      <c r="AA114" s="911"/>
      <c r="AB114" s="923" t="e">
        <f>(AB113/AA100)*100</f>
        <v>#N/A</v>
      </c>
      <c r="AC114" s="911"/>
      <c r="AD114" s="923" t="e">
        <f>(AD113/AC100)*100</f>
        <v>#N/A</v>
      </c>
      <c r="AE114" s="911"/>
      <c r="AF114" s="923" t="e">
        <f>(AF113/AE100)*100</f>
        <v>#N/A</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75" thickBot="1" x14ac:dyDescent="0.3">
      <c r="A115" s="927" t="s">
        <v>1230</v>
      </c>
      <c r="B115" s="928" t="s">
        <v>1190</v>
      </c>
      <c r="C115" s="482" t="e">
        <f>C100/('Ввод исходных данных'!$G$44++'Ввод исходных данных'!D22)</f>
        <v>#VALUE!</v>
      </c>
      <c r="D115" s="482" t="e">
        <f>D100/('Ввод исходных данных'!$G$44+'Ввод исходных данных'!D22)</f>
        <v>#DIV/0!</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25">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25">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2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25">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25">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25">
      <c r="A134" s="497" t="s">
        <v>514</v>
      </c>
      <c r="B134" s="500">
        <f>'Ввод исходных данных'!G50</f>
        <v>0</v>
      </c>
      <c r="C134" s="499" t="e">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#N/A</v>
      </c>
      <c r="D134" s="498">
        <v>1</v>
      </c>
      <c r="E134" s="500" t="e">
        <f>IF(C134=0,0,B134/C134*D134)</f>
        <v>#N/A</v>
      </c>
      <c r="F134" s="501" t="e">
        <f>E134*(20-$D$145)</f>
        <v>#N/A</v>
      </c>
      <c r="G134" s="500" t="e">
        <f t="shared" ref="G134:R134" si="198">$E$134*0.024*G$147</f>
        <v>#N/A</v>
      </c>
      <c r="H134" s="500" t="e">
        <f t="shared" si="198"/>
        <v>#N/A</v>
      </c>
      <c r="I134" s="500" t="e">
        <f t="shared" si="198"/>
        <v>#N/A</v>
      </c>
      <c r="J134" s="500" t="e">
        <f t="shared" si="198"/>
        <v>#N/A</v>
      </c>
      <c r="K134" s="500" t="e">
        <f t="shared" si="198"/>
        <v>#N/A</v>
      </c>
      <c r="L134" s="500" t="e">
        <f t="shared" si="198"/>
        <v>#N/A</v>
      </c>
      <c r="M134" s="500" t="e">
        <f t="shared" si="198"/>
        <v>#N/A</v>
      </c>
      <c r="N134" s="500" t="e">
        <f t="shared" si="198"/>
        <v>#N/A</v>
      </c>
      <c r="O134" s="500" t="e">
        <f t="shared" si="198"/>
        <v>#N/A</v>
      </c>
      <c r="P134" s="500" t="e">
        <f t="shared" si="198"/>
        <v>#N/A</v>
      </c>
      <c r="Q134" s="500" t="e">
        <f t="shared" si="198"/>
        <v>#N/A</v>
      </c>
      <c r="R134" s="500" t="e">
        <f t="shared" si="198"/>
        <v>#N/A</v>
      </c>
      <c r="S134" s="87"/>
      <c r="T134" s="87"/>
      <c r="U134" s="87"/>
      <c r="V134" s="87"/>
      <c r="W134" s="87"/>
      <c r="X134" s="87"/>
      <c r="Y134" s="87"/>
      <c r="Z134" s="87"/>
      <c r="AA134" s="87"/>
      <c r="AB134" s="87"/>
      <c r="AC134" s="87"/>
      <c r="AD134" s="87"/>
      <c r="AE134" s="87"/>
      <c r="AF134" s="87"/>
      <c r="AG134" s="87"/>
      <c r="AH134" s="87"/>
    </row>
    <row r="135" spans="1:67" x14ac:dyDescent="0.25">
      <c r="A135" s="497" t="s">
        <v>611</v>
      </c>
      <c r="B135" s="500">
        <f>'Ввод исходных данных'!G52</f>
        <v>0</v>
      </c>
      <c r="C135" s="929" t="e">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#N/A</v>
      </c>
      <c r="D135" s="498">
        <v>1</v>
      </c>
      <c r="E135" s="500" t="e">
        <f t="shared" ref="E135:E138" si="199">IF(C135=0,0,B135/C135*D135)</f>
        <v>#N/A</v>
      </c>
      <c r="F135" s="501" t="e">
        <f t="shared" ref="F135:F143" si="200">E135*(20-$D$145)</f>
        <v>#N/A</v>
      </c>
      <c r="G135" s="500" t="e">
        <f t="shared" ref="G135:R135" si="201">$E$135*0.024*G$147</f>
        <v>#N/A</v>
      </c>
      <c r="H135" s="500" t="e">
        <f t="shared" si="201"/>
        <v>#N/A</v>
      </c>
      <c r="I135" s="500" t="e">
        <f t="shared" si="201"/>
        <v>#N/A</v>
      </c>
      <c r="J135" s="500" t="e">
        <f t="shared" si="201"/>
        <v>#N/A</v>
      </c>
      <c r="K135" s="500" t="e">
        <f t="shared" si="201"/>
        <v>#N/A</v>
      </c>
      <c r="L135" s="500" t="e">
        <f t="shared" si="201"/>
        <v>#N/A</v>
      </c>
      <c r="M135" s="500" t="e">
        <f t="shared" si="201"/>
        <v>#N/A</v>
      </c>
      <c r="N135" s="500" t="e">
        <f t="shared" si="201"/>
        <v>#N/A</v>
      </c>
      <c r="O135" s="500" t="e">
        <f t="shared" si="201"/>
        <v>#N/A</v>
      </c>
      <c r="P135" s="500" t="e">
        <f t="shared" si="201"/>
        <v>#N/A</v>
      </c>
      <c r="Q135" s="500" t="e">
        <f t="shared" si="201"/>
        <v>#N/A</v>
      </c>
      <c r="R135" s="500" t="e">
        <f t="shared" si="201"/>
        <v>#N/A</v>
      </c>
      <c r="S135" s="87"/>
      <c r="T135" s="87"/>
      <c r="U135" s="87"/>
      <c r="V135" s="87"/>
      <c r="W135" s="87"/>
      <c r="X135" s="87"/>
      <c r="Y135" s="87"/>
      <c r="Z135" s="87"/>
      <c r="AA135" s="87"/>
      <c r="AB135" s="87"/>
      <c r="AC135" s="87"/>
      <c r="AD135" s="87"/>
      <c r="AE135" s="87"/>
      <c r="AF135" s="87"/>
      <c r="AG135" s="87"/>
      <c r="AH135" s="87"/>
    </row>
    <row r="136" spans="1:67" x14ac:dyDescent="0.25">
      <c r="A136" s="497" t="s">
        <v>612</v>
      </c>
      <c r="B136" s="500">
        <f>'Ввод исходных данных'!G55</f>
        <v>0</v>
      </c>
      <c r="C136" s="929" t="e">
        <f>IF('Ввод исходных данных'!D71=0,0.4*(1-'Ввод исходных данных'!$D$33/'Ввод исходных данных'!G54)+0.55*('Ввод исходных данных'!$D$33/'Ввод исходных данных'!G54),'Ввод исходных данных'!D71)</f>
        <v>#DIV/0!</v>
      </c>
      <c r="D136" s="498">
        <v>1</v>
      </c>
      <c r="E136" s="500" t="e">
        <f t="shared" si="199"/>
        <v>#DIV/0!</v>
      </c>
      <c r="F136" s="501" t="e">
        <f t="shared" si="200"/>
        <v>#DIV/0!</v>
      </c>
      <c r="G136" s="500" t="e">
        <f t="shared" ref="G136:R136" si="202">$E$136*0.024*G$147</f>
        <v>#DIV/0!</v>
      </c>
      <c r="H136" s="500" t="e">
        <f t="shared" si="202"/>
        <v>#DIV/0!</v>
      </c>
      <c r="I136" s="500" t="e">
        <f t="shared" si="202"/>
        <v>#DIV/0!</v>
      </c>
      <c r="J136" s="500" t="e">
        <f t="shared" si="202"/>
        <v>#DIV/0!</v>
      </c>
      <c r="K136" s="500" t="e">
        <f t="shared" si="202"/>
        <v>#DIV/0!</v>
      </c>
      <c r="L136" s="500" t="e">
        <f t="shared" si="202"/>
        <v>#DIV/0!</v>
      </c>
      <c r="M136" s="500" t="e">
        <f t="shared" si="202"/>
        <v>#DIV/0!</v>
      </c>
      <c r="N136" s="500" t="e">
        <f t="shared" si="202"/>
        <v>#DIV/0!</v>
      </c>
      <c r="O136" s="500" t="e">
        <f t="shared" si="202"/>
        <v>#DIV/0!</v>
      </c>
      <c r="P136" s="500" t="e">
        <f t="shared" si="202"/>
        <v>#DIV/0!</v>
      </c>
      <c r="Q136" s="500" t="e">
        <f t="shared" si="202"/>
        <v>#DIV/0!</v>
      </c>
      <c r="R136" s="500" t="e">
        <f t="shared" si="202"/>
        <v>#DIV/0!</v>
      </c>
      <c r="S136" s="87"/>
      <c r="T136" s="87"/>
      <c r="U136" s="87"/>
      <c r="V136" s="87"/>
      <c r="W136" s="87"/>
      <c r="X136" s="87"/>
      <c r="Y136" s="87"/>
      <c r="Z136" s="87"/>
      <c r="AA136" s="87"/>
      <c r="AB136" s="87"/>
      <c r="AC136" s="87"/>
      <c r="AD136" s="87"/>
      <c r="AE136" s="87"/>
      <c r="AF136" s="87"/>
      <c r="AG136" s="87"/>
      <c r="AH136" s="87"/>
    </row>
    <row r="137" spans="1:67" x14ac:dyDescent="0.25">
      <c r="A137" s="497" t="s">
        <v>1608</v>
      </c>
      <c r="B137" s="500">
        <f>'Ввод исходных данных'!G58</f>
        <v>0</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v>
      </c>
      <c r="D137" s="498">
        <v>1</v>
      </c>
      <c r="E137" s="500">
        <f t="shared" ref="E137" si="203">IF(C137=0,0,B137/C137*D137)</f>
        <v>0</v>
      </c>
      <c r="F137" s="501" t="e">
        <f t="shared" si="200"/>
        <v>#N/A</v>
      </c>
      <c r="G137" s="500" t="e">
        <f>$E$137*0.024*G$147</f>
        <v>#N/A</v>
      </c>
      <c r="H137" s="500" t="e">
        <f t="shared" ref="H137:R137" si="204">$E$137*0.024*H$147</f>
        <v>#N/A</v>
      </c>
      <c r="I137" s="500" t="e">
        <f t="shared" si="204"/>
        <v>#N/A</v>
      </c>
      <c r="J137" s="500" t="e">
        <f t="shared" si="204"/>
        <v>#N/A</v>
      </c>
      <c r="K137" s="500" t="e">
        <f t="shared" si="204"/>
        <v>#N/A</v>
      </c>
      <c r="L137" s="500" t="e">
        <f t="shared" si="204"/>
        <v>#N/A</v>
      </c>
      <c r="M137" s="500" t="e">
        <f t="shared" si="204"/>
        <v>#N/A</v>
      </c>
      <c r="N137" s="500" t="e">
        <f t="shared" si="204"/>
        <v>#N/A</v>
      </c>
      <c r="O137" s="500" t="e">
        <f t="shared" si="204"/>
        <v>#N/A</v>
      </c>
      <c r="P137" s="500" t="e">
        <f t="shared" si="204"/>
        <v>#N/A</v>
      </c>
      <c r="Q137" s="500" t="e">
        <f t="shared" si="204"/>
        <v>#N/A</v>
      </c>
      <c r="R137" s="500" t="e">
        <f t="shared" si="204"/>
        <v>#N/A</v>
      </c>
      <c r="S137" s="87"/>
      <c r="T137" s="87"/>
      <c r="U137" s="87"/>
      <c r="V137" s="87"/>
      <c r="W137" s="87"/>
      <c r="X137" s="87"/>
      <c r="Y137" s="87"/>
      <c r="Z137" s="87"/>
      <c r="AA137" s="87"/>
      <c r="AB137" s="87"/>
      <c r="AC137" s="87"/>
      <c r="AD137" s="87"/>
      <c r="AE137" s="87"/>
      <c r="AF137" s="87"/>
      <c r="AG137" s="87"/>
      <c r="AH137" s="87"/>
    </row>
    <row r="138" spans="1:67" x14ac:dyDescent="0.25">
      <c r="A138" s="497" t="s">
        <v>1337</v>
      </c>
      <c r="B138" s="500">
        <f>'Ввод исходных данных'!G59</f>
        <v>0</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1.32</v>
      </c>
      <c r="D138" s="498">
        <v>1</v>
      </c>
      <c r="E138" s="500">
        <f t="shared" si="199"/>
        <v>0</v>
      </c>
      <c r="F138" s="501" t="e">
        <f t="shared" si="200"/>
        <v>#N/A</v>
      </c>
      <c r="G138" s="500" t="e">
        <f t="shared" ref="G138:R138" si="205">$E$138*0.024*G$147</f>
        <v>#N/A</v>
      </c>
      <c r="H138" s="500" t="e">
        <f t="shared" si="205"/>
        <v>#N/A</v>
      </c>
      <c r="I138" s="500" t="e">
        <f t="shared" si="205"/>
        <v>#N/A</v>
      </c>
      <c r="J138" s="500" t="e">
        <f t="shared" si="205"/>
        <v>#N/A</v>
      </c>
      <c r="K138" s="500" t="e">
        <f t="shared" si="205"/>
        <v>#N/A</v>
      </c>
      <c r="L138" s="500" t="e">
        <f t="shared" si="205"/>
        <v>#N/A</v>
      </c>
      <c r="M138" s="500" t="e">
        <f t="shared" si="205"/>
        <v>#N/A</v>
      </c>
      <c r="N138" s="500" t="e">
        <f t="shared" si="205"/>
        <v>#N/A</v>
      </c>
      <c r="O138" s="500" t="e">
        <f t="shared" si="205"/>
        <v>#N/A</v>
      </c>
      <c r="P138" s="500" t="e">
        <f t="shared" si="205"/>
        <v>#N/A</v>
      </c>
      <c r="Q138" s="500" t="e">
        <f t="shared" si="205"/>
        <v>#N/A</v>
      </c>
      <c r="R138" s="500" t="e">
        <f t="shared" si="205"/>
        <v>#N/A</v>
      </c>
      <c r="S138" s="87"/>
      <c r="T138" s="87"/>
      <c r="U138" s="87"/>
      <c r="V138" s="87"/>
      <c r="W138" s="87"/>
      <c r="X138" s="87"/>
      <c r="Y138" s="87"/>
      <c r="Z138" s="87"/>
      <c r="AA138" s="87"/>
      <c r="AB138" s="87"/>
      <c r="AC138" s="87"/>
      <c r="AD138" s="87"/>
      <c r="AE138" s="87"/>
      <c r="AF138" s="87"/>
      <c r="AG138" s="87"/>
      <c r="AH138" s="87"/>
    </row>
    <row r="139" spans="1:67" x14ac:dyDescent="0.25">
      <c r="A139" s="497" t="s">
        <v>1338</v>
      </c>
      <c r="B139" s="500">
        <f>'Ввод исходных данных'!G61</f>
        <v>0</v>
      </c>
      <c r="C139" s="930" t="e">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#N/A</v>
      </c>
      <c r="D139" s="931" t="e">
        <f>(20-'Расчет базового уровня'!$D$159)/(20-'Расчет базового уровня'!$D$145)</f>
        <v>#N/A</v>
      </c>
      <c r="E139" s="500" t="e">
        <f>IF(C139=0,0,B139/C139*D139)</f>
        <v>#N/A</v>
      </c>
      <c r="F139" s="501" t="e">
        <f t="shared" si="200"/>
        <v>#N/A</v>
      </c>
      <c r="G139" s="500" t="e">
        <f t="shared" ref="G139:R140" si="206">$E$139*0.024*G$147</f>
        <v>#N/A</v>
      </c>
      <c r="H139" s="500" t="e">
        <f t="shared" si="206"/>
        <v>#N/A</v>
      </c>
      <c r="I139" s="500" t="e">
        <f t="shared" si="206"/>
        <v>#N/A</v>
      </c>
      <c r="J139" s="500" t="e">
        <f t="shared" si="206"/>
        <v>#N/A</v>
      </c>
      <c r="K139" s="500" t="e">
        <f t="shared" si="206"/>
        <v>#N/A</v>
      </c>
      <c r="L139" s="500" t="e">
        <f t="shared" si="206"/>
        <v>#N/A</v>
      </c>
      <c r="M139" s="500" t="e">
        <f t="shared" si="206"/>
        <v>#N/A</v>
      </c>
      <c r="N139" s="500" t="e">
        <f t="shared" si="206"/>
        <v>#N/A</v>
      </c>
      <c r="O139" s="500" t="e">
        <f t="shared" si="206"/>
        <v>#N/A</v>
      </c>
      <c r="P139" s="500" t="e">
        <f t="shared" si="206"/>
        <v>#N/A</v>
      </c>
      <c r="Q139" s="500" t="e">
        <f t="shared" si="206"/>
        <v>#N/A</v>
      </c>
      <c r="R139" s="500" t="e">
        <f t="shared" si="206"/>
        <v>#N/A</v>
      </c>
      <c r="S139" s="87"/>
      <c r="T139" s="87"/>
      <c r="U139" s="87"/>
      <c r="V139" s="87"/>
      <c r="W139" s="87"/>
      <c r="X139" s="87"/>
      <c r="Y139" s="87"/>
      <c r="Z139" s="87"/>
      <c r="AA139" s="87"/>
      <c r="AB139" s="87"/>
      <c r="AC139" s="87"/>
      <c r="AD139" s="87"/>
      <c r="AE139" s="87"/>
      <c r="AF139" s="87"/>
      <c r="AG139" s="87"/>
      <c r="AH139" s="87"/>
    </row>
    <row r="140" spans="1:67" x14ac:dyDescent="0.25">
      <c r="A140" s="497" t="s">
        <v>1339</v>
      </c>
      <c r="B140" s="500">
        <f>'Ввод исходных данных'!G60</f>
        <v>0</v>
      </c>
      <c r="C140" s="930" t="e">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#N/A</v>
      </c>
      <c r="D140" s="498">
        <v>0.9</v>
      </c>
      <c r="E140" s="500" t="e">
        <f>IF(C140=0,0,B140/C140*D140)</f>
        <v>#N/A</v>
      </c>
      <c r="F140" s="501" t="e">
        <f t="shared" si="200"/>
        <v>#N/A</v>
      </c>
      <c r="G140" s="500" t="e">
        <f t="shared" si="206"/>
        <v>#N/A</v>
      </c>
      <c r="H140" s="500" t="e">
        <f t="shared" si="206"/>
        <v>#N/A</v>
      </c>
      <c r="I140" s="500" t="e">
        <f t="shared" si="206"/>
        <v>#N/A</v>
      </c>
      <c r="J140" s="500" t="e">
        <f t="shared" si="206"/>
        <v>#N/A</v>
      </c>
      <c r="K140" s="500" t="e">
        <f t="shared" si="206"/>
        <v>#N/A</v>
      </c>
      <c r="L140" s="500" t="e">
        <f t="shared" si="206"/>
        <v>#N/A</v>
      </c>
      <c r="M140" s="500" t="e">
        <f t="shared" si="206"/>
        <v>#N/A</v>
      </c>
      <c r="N140" s="500" t="e">
        <f t="shared" si="206"/>
        <v>#N/A</v>
      </c>
      <c r="O140" s="500" t="e">
        <f t="shared" si="206"/>
        <v>#N/A</v>
      </c>
      <c r="P140" s="500" t="e">
        <f t="shared" si="206"/>
        <v>#N/A</v>
      </c>
      <c r="Q140" s="500" t="e">
        <f t="shared" si="206"/>
        <v>#N/A</v>
      </c>
      <c r="R140" s="500" t="e">
        <f t="shared" si="206"/>
        <v>#N/A</v>
      </c>
      <c r="S140" s="87"/>
      <c r="T140" s="87"/>
      <c r="U140" s="87"/>
      <c r="V140" s="87"/>
      <c r="W140" s="87"/>
      <c r="X140" s="87"/>
      <c r="Y140" s="87"/>
      <c r="Z140" s="87"/>
      <c r="AA140" s="87"/>
      <c r="AB140" s="87"/>
      <c r="AC140" s="87"/>
      <c r="AD140" s="87"/>
      <c r="AE140" s="87"/>
      <c r="AF140" s="87"/>
      <c r="AG140" s="87"/>
      <c r="AH140" s="87"/>
    </row>
    <row r="141" spans="1:67" x14ac:dyDescent="0.25">
      <c r="A141" s="497" t="s">
        <v>1340</v>
      </c>
      <c r="B141" s="500">
        <f>'Ввод исходных данных'!G63</f>
        <v>0</v>
      </c>
      <c r="C141" s="499" t="e">
        <f>IF('Ввод исходных данных'!D74=0,'Серии теплотехника'!B50+IF(списки!D36=1,1,0),'Ввод исходных данных'!D74)</f>
        <v>#N/A</v>
      </c>
      <c r="D141" s="498">
        <v>1</v>
      </c>
      <c r="E141" s="500" t="e">
        <f>IF(C141=0,0,B141/C141*D141)</f>
        <v>#N/A</v>
      </c>
      <c r="F141" s="501" t="e">
        <f t="shared" si="200"/>
        <v>#N/A</v>
      </c>
      <c r="G141" s="500" t="e">
        <f t="shared" ref="G141:R141" si="207">$E$141*0.024*G$147</f>
        <v>#N/A</v>
      </c>
      <c r="H141" s="500" t="e">
        <f t="shared" si="207"/>
        <v>#N/A</v>
      </c>
      <c r="I141" s="500" t="e">
        <f t="shared" si="207"/>
        <v>#N/A</v>
      </c>
      <c r="J141" s="500" t="e">
        <f t="shared" si="207"/>
        <v>#N/A</v>
      </c>
      <c r="K141" s="500" t="e">
        <f t="shared" si="207"/>
        <v>#N/A</v>
      </c>
      <c r="L141" s="500" t="e">
        <f t="shared" si="207"/>
        <v>#N/A</v>
      </c>
      <c r="M141" s="500" t="e">
        <f t="shared" si="207"/>
        <v>#N/A</v>
      </c>
      <c r="N141" s="500" t="e">
        <f t="shared" si="207"/>
        <v>#N/A</v>
      </c>
      <c r="O141" s="500" t="e">
        <f t="shared" si="207"/>
        <v>#N/A</v>
      </c>
      <c r="P141" s="500" t="e">
        <f t="shared" si="207"/>
        <v>#N/A</v>
      </c>
      <c r="Q141" s="500" t="e">
        <f t="shared" si="207"/>
        <v>#N/A</v>
      </c>
      <c r="R141" s="500" t="e">
        <f t="shared" si="207"/>
        <v>#N/A</v>
      </c>
      <c r="S141" s="87"/>
      <c r="T141" s="87"/>
      <c r="U141" s="87"/>
      <c r="V141" s="87"/>
      <c r="W141" s="87"/>
      <c r="X141" s="87"/>
      <c r="Y141" s="87"/>
      <c r="Z141" s="87"/>
      <c r="AA141" s="87"/>
      <c r="AB141" s="87"/>
      <c r="AC141" s="87"/>
      <c r="AD141" s="87"/>
      <c r="AE141" s="87"/>
      <c r="AF141" s="87"/>
      <c r="AG141" s="87"/>
      <c r="AH141" s="87"/>
    </row>
    <row r="142" spans="1:67" x14ac:dyDescent="0.25">
      <c r="A142" s="497" t="s">
        <v>1336</v>
      </c>
      <c r="B142" s="500">
        <f>'Ввод исходных данных'!G62</f>
        <v>0</v>
      </c>
      <c r="C142" s="932" t="e">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#N/A</v>
      </c>
      <c r="D142" s="503" t="e">
        <f>('Ввод исходных данных'!D82-'Расчет базового уровня'!$D$160)/('Ввод исходных данных'!D82-'Расчет базового уровня'!$D$145)</f>
        <v>#N/A</v>
      </c>
      <c r="E142" s="500" t="e">
        <f>IF(C142=0,0,B142/C142*D142)</f>
        <v>#N/A</v>
      </c>
      <c r="F142" s="501" t="e">
        <f t="shared" si="200"/>
        <v>#N/A</v>
      </c>
      <c r="G142" s="500" t="e">
        <f>$E$142*0.024*G$147</f>
        <v>#N/A</v>
      </c>
      <c r="H142" s="500" t="e">
        <f>$E$142*0.024*H$147</f>
        <v>#N/A</v>
      </c>
      <c r="I142" s="500" t="e">
        <f t="shared" ref="I142:R142" si="208">$E$142*0.024*I$147</f>
        <v>#N/A</v>
      </c>
      <c r="J142" s="500" t="e">
        <f t="shared" si="208"/>
        <v>#N/A</v>
      </c>
      <c r="K142" s="500" t="e">
        <f t="shared" si="208"/>
        <v>#N/A</v>
      </c>
      <c r="L142" s="500" t="e">
        <f t="shared" si="208"/>
        <v>#N/A</v>
      </c>
      <c r="M142" s="500" t="e">
        <f t="shared" si="208"/>
        <v>#N/A</v>
      </c>
      <c r="N142" s="500" t="e">
        <f t="shared" si="208"/>
        <v>#N/A</v>
      </c>
      <c r="O142" s="500" t="e">
        <f t="shared" si="208"/>
        <v>#N/A</v>
      </c>
      <c r="P142" s="500" t="e">
        <f t="shared" si="208"/>
        <v>#N/A</v>
      </c>
      <c r="Q142" s="500" t="e">
        <f t="shared" si="208"/>
        <v>#N/A</v>
      </c>
      <c r="R142" s="500" t="e">
        <f t="shared" si="208"/>
        <v>#N/A</v>
      </c>
      <c r="S142" s="87"/>
      <c r="T142" s="87"/>
      <c r="U142" s="87"/>
      <c r="V142" s="87"/>
      <c r="W142" s="87"/>
      <c r="X142" s="87"/>
      <c r="Y142" s="87"/>
      <c r="Z142" s="87"/>
      <c r="AA142" s="87"/>
      <c r="AB142" s="87"/>
      <c r="AC142" s="87"/>
      <c r="AD142" s="87"/>
      <c r="AE142" s="87"/>
      <c r="AF142" s="87"/>
      <c r="AG142" s="87"/>
      <c r="AH142" s="87"/>
    </row>
    <row r="143" spans="1:67" x14ac:dyDescent="0.25">
      <c r="A143" s="497" t="s">
        <v>1231</v>
      </c>
      <c r="B143" s="500">
        <f>'Ввод исходных данных'!G65</f>
        <v>0</v>
      </c>
      <c r="C143" s="933">
        <f>IF('Ввод исходных данных'!D75=0,IF(списки!D34=0,0.5,0.95),'Ввод исходных данных'!D75)</f>
        <v>0.5</v>
      </c>
      <c r="D143" s="503">
        <v>1</v>
      </c>
      <c r="E143" s="500">
        <f>IF(C143=0,0,B143/C143*D143)</f>
        <v>0</v>
      </c>
      <c r="F143" s="501" t="e">
        <f t="shared" si="200"/>
        <v>#N/A</v>
      </c>
      <c r="G143" s="500" t="e">
        <f>$E$143*0.024*G$147</f>
        <v>#N/A</v>
      </c>
      <c r="H143" s="500" t="e">
        <f t="shared" ref="H143:R143" si="209">$E$143*0.024*H$147</f>
        <v>#N/A</v>
      </c>
      <c r="I143" s="500" t="e">
        <f t="shared" si="209"/>
        <v>#N/A</v>
      </c>
      <c r="J143" s="500" t="e">
        <f t="shared" si="209"/>
        <v>#N/A</v>
      </c>
      <c r="K143" s="500" t="e">
        <f t="shared" si="209"/>
        <v>#N/A</v>
      </c>
      <c r="L143" s="500" t="e">
        <f t="shared" si="209"/>
        <v>#N/A</v>
      </c>
      <c r="M143" s="500" t="e">
        <f t="shared" si="209"/>
        <v>#N/A</v>
      </c>
      <c r="N143" s="500" t="e">
        <f t="shared" si="209"/>
        <v>#N/A</v>
      </c>
      <c r="O143" s="500" t="e">
        <f t="shared" si="209"/>
        <v>#N/A</v>
      </c>
      <c r="P143" s="500" t="e">
        <f t="shared" si="209"/>
        <v>#N/A</v>
      </c>
      <c r="Q143" s="500" t="e">
        <f t="shared" si="209"/>
        <v>#N/A</v>
      </c>
      <c r="R143" s="500" t="e">
        <f t="shared" si="209"/>
        <v>#N/A</v>
      </c>
      <c r="S143" s="87"/>
      <c r="T143" s="87"/>
      <c r="U143" s="87"/>
      <c r="V143" s="87"/>
      <c r="W143" s="87"/>
      <c r="X143" s="87"/>
      <c r="Y143" s="87"/>
      <c r="Z143" s="87"/>
      <c r="AA143" s="87"/>
      <c r="AB143" s="87"/>
      <c r="AC143" s="87"/>
      <c r="AD143" s="87"/>
      <c r="AE143" s="87"/>
      <c r="AF143" s="87"/>
      <c r="AG143" s="87"/>
      <c r="AH143" s="87"/>
    </row>
    <row r="144" spans="1:67" x14ac:dyDescent="0.25">
      <c r="A144" s="497" t="s">
        <v>515</v>
      </c>
      <c r="B144" s="500">
        <f>SUM(B134:B141)</f>
        <v>0</v>
      </c>
      <c r="C144" s="933"/>
      <c r="D144" s="498"/>
      <c r="E144" s="500" t="e">
        <f>SUM(E134:E143)</f>
        <v>#N/A</v>
      </c>
      <c r="F144" s="501" t="e">
        <f>E144*(20-$D$145)/1000</f>
        <v>#N/A</v>
      </c>
      <c r="G144" s="500" t="e">
        <f>SUM(G134:G143)</f>
        <v>#N/A</v>
      </c>
      <c r="H144" s="500" t="e">
        <f t="shared" ref="H144:R144" si="210">SUM(H134:H143)</f>
        <v>#N/A</v>
      </c>
      <c r="I144" s="500" t="e">
        <f t="shared" si="210"/>
        <v>#N/A</v>
      </c>
      <c r="J144" s="500" t="e">
        <f t="shared" si="210"/>
        <v>#N/A</v>
      </c>
      <c r="K144" s="500" t="e">
        <f t="shared" si="210"/>
        <v>#N/A</v>
      </c>
      <c r="L144" s="500" t="e">
        <f t="shared" si="210"/>
        <v>#N/A</v>
      </c>
      <c r="M144" s="500" t="e">
        <f t="shared" si="210"/>
        <v>#N/A</v>
      </c>
      <c r="N144" s="500" t="e">
        <f t="shared" si="210"/>
        <v>#N/A</v>
      </c>
      <c r="O144" s="500" t="e">
        <f t="shared" si="210"/>
        <v>#N/A</v>
      </c>
      <c r="P144" s="500" t="e">
        <f t="shared" si="210"/>
        <v>#N/A</v>
      </c>
      <c r="Q144" s="500" t="e">
        <f t="shared" si="210"/>
        <v>#N/A</v>
      </c>
      <c r="R144" s="500" t="e">
        <f t="shared" si="210"/>
        <v>#N/A</v>
      </c>
      <c r="S144" s="87"/>
      <c r="T144" s="87"/>
      <c r="U144" s="87"/>
      <c r="V144" s="87"/>
      <c r="W144" s="87"/>
      <c r="X144" s="87"/>
      <c r="Y144" s="87"/>
      <c r="Z144" s="87"/>
      <c r="AA144" s="87"/>
      <c r="AB144" s="87"/>
      <c r="AC144" s="87"/>
      <c r="AD144" s="87"/>
      <c r="AE144" s="87"/>
      <c r="AF144" s="87"/>
      <c r="AG144" s="87"/>
      <c r="AH144" s="87"/>
    </row>
    <row r="145" spans="1:34" x14ac:dyDescent="0.25">
      <c r="A145" s="87"/>
      <c r="B145" s="505" t="s">
        <v>742</v>
      </c>
      <c r="C145" s="506" t="s">
        <v>747</v>
      </c>
      <c r="D145" s="498" t="e">
        <f>VLOOKUP(CONCATENATE('Ввод исходных данных'!$D$10,'Ввод исходных данных'!$D$11),Климатология!$D$9:$BF$548,4,0)</f>
        <v>#N/A</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25">
      <c r="A146" s="87"/>
      <c r="B146" s="505" t="s">
        <v>529</v>
      </c>
      <c r="C146" s="506" t="s">
        <v>748</v>
      </c>
      <c r="D146" s="498" t="e">
        <f>VLOOKUP(CONCATENATE('Ввод исходных данных'!$D$10,'Ввод исходных данных'!$D$11),Климатология!$D$9:$BF$548,2,0)</f>
        <v>#N/A</v>
      </c>
      <c r="E146" s="87"/>
      <c r="F146" s="334"/>
      <c r="G146" s="507" t="e">
        <f>VLOOKUP(CONCATENATE('Ввод исходных данных'!$D$10,'Ввод исходных данных'!$D$11),Климатология!$D$9:$BF$548,G130+2,0)</f>
        <v>#N/A</v>
      </c>
      <c r="H146" s="507" t="e">
        <f>VLOOKUP(CONCATENATE('Ввод исходных данных'!$D$10,'Ввод исходных данных'!$D$11),Климатология!$D$9:$BF$548,H130+2,0)</f>
        <v>#N/A</v>
      </c>
      <c r="I146" s="507" t="e">
        <f>VLOOKUP(CONCATENATE('Ввод исходных данных'!$D$10,'Ввод исходных данных'!$D$11),Климатология!$D$9:$BF$548,I130+2,0)</f>
        <v>#N/A</v>
      </c>
      <c r="J146" s="507" t="e">
        <f>VLOOKUP(CONCATENATE('Ввод исходных данных'!$D$10,'Ввод исходных данных'!$D$11),Климатология!$D$9:$BF$548,J130+2,0)</f>
        <v>#N/A</v>
      </c>
      <c r="K146" s="507" t="e">
        <f>VLOOKUP(CONCATENATE('Ввод исходных данных'!$D$10,'Ввод исходных данных'!$D$11),Климатология!$D$9:$BF$548,K130+2,0)</f>
        <v>#N/A</v>
      </c>
      <c r="L146" s="507" t="e">
        <f>VLOOKUP(CONCATENATE('Ввод исходных данных'!$D$10,'Ввод исходных данных'!$D$11),Климатология!$D$9:$BF$548,L130+2,0)</f>
        <v>#N/A</v>
      </c>
      <c r="M146" s="507" t="e">
        <f>VLOOKUP(CONCATENATE('Ввод исходных данных'!$D$10,'Ввод исходных данных'!$D$11),Климатология!$D$9:$BF$548,M130+2,0)</f>
        <v>#N/A</v>
      </c>
      <c r="N146" s="507" t="e">
        <f>VLOOKUP(CONCATENATE('Ввод исходных данных'!$D$10,'Ввод исходных данных'!$D$11),Климатология!$D$9:$BF$548,N130+2,0)</f>
        <v>#N/A</v>
      </c>
      <c r="O146" s="507" t="e">
        <f>VLOOKUP(CONCATENATE('Ввод исходных данных'!$D$10,'Ввод исходных данных'!$D$11),Климатология!$D$9:$BF$548,O130+2,0)</f>
        <v>#N/A</v>
      </c>
      <c r="P146" s="507" t="e">
        <f>VLOOKUP(CONCATENATE('Ввод исходных данных'!$D$10,'Ввод исходных данных'!$D$11),Климатология!$D$9:$BF$548,P130+2,0)</f>
        <v>#N/A</v>
      </c>
      <c r="Q146" s="507" t="e">
        <f>VLOOKUP(CONCATENATE('Ввод исходных данных'!$D$10,'Ввод исходных данных'!$D$11),Климатология!$D$9:$BF$548,Q130+2,0)</f>
        <v>#N/A</v>
      </c>
      <c r="R146" s="507" t="e">
        <f>VLOOKUP(CONCATENATE('Ввод исходных данных'!$D$10,'Ввод исходных данных'!$D$11),Климатология!$D$9:$BF$548,R130+2,0)</f>
        <v>#N/A</v>
      </c>
      <c r="S146" s="87"/>
      <c r="T146" s="87"/>
      <c r="U146" s="87"/>
      <c r="V146" s="87"/>
      <c r="W146" s="87"/>
      <c r="X146" s="87"/>
      <c r="Y146" s="87"/>
      <c r="Z146" s="87"/>
      <c r="AA146" s="87"/>
      <c r="AB146" s="87"/>
      <c r="AC146" s="87"/>
      <c r="AD146" s="87"/>
      <c r="AE146" s="87"/>
      <c r="AF146" s="87"/>
      <c r="AG146" s="87"/>
      <c r="AH146" s="87"/>
    </row>
    <row r="147" spans="1:34" x14ac:dyDescent="0.25">
      <c r="A147" s="87"/>
      <c r="B147" s="505" t="s">
        <v>462</v>
      </c>
      <c r="C147" s="506" t="s">
        <v>749</v>
      </c>
      <c r="D147" s="498" t="e">
        <f>VLOOKUP(CONCATENATE('Ввод исходных данных'!$D$10,'Ввод исходных данных'!$D$11),Климатология!$D$9:$BF$548,6,0)</f>
        <v>#N/A</v>
      </c>
      <c r="E147" s="87"/>
      <c r="F147" s="334"/>
      <c r="G147" s="507" t="e">
        <f>VLOOKUP(CONCATENATE('Ввод исходных данных'!$D$10,'Ввод исходных данных'!$D$11),Климатология!$D$9:$BF$548,G130+3,0)</f>
        <v>#N/A</v>
      </c>
      <c r="H147" s="507" t="e">
        <f>VLOOKUP(CONCATENATE('Ввод исходных данных'!$D$10,'Ввод исходных данных'!$D$11),Климатология!$D$9:$BF$548,H130+3,0)</f>
        <v>#N/A</v>
      </c>
      <c r="I147" s="507" t="e">
        <f>VLOOKUP(CONCATENATE('Ввод исходных данных'!$D$10,'Ввод исходных данных'!$D$11),Климатология!$D$9:$BF$548,I130+3,0)</f>
        <v>#N/A</v>
      </c>
      <c r="J147" s="507" t="e">
        <f>VLOOKUP(CONCATENATE('Ввод исходных данных'!$D$10,'Ввод исходных данных'!$D$11),Климатология!$D$9:$BF$548,J130+3,0)</f>
        <v>#N/A</v>
      </c>
      <c r="K147" s="507" t="e">
        <f>VLOOKUP(CONCATENATE('Ввод исходных данных'!$D$10,'Ввод исходных данных'!$D$11),Климатология!$D$9:$BF$548,K130+3,0)</f>
        <v>#N/A</v>
      </c>
      <c r="L147" s="507" t="e">
        <f>VLOOKUP(CONCATENATE('Ввод исходных данных'!$D$10,'Ввод исходных данных'!$D$11),Климатология!$D$9:$BF$548,L130+3,0)</f>
        <v>#N/A</v>
      </c>
      <c r="M147" s="507" t="e">
        <f>VLOOKUP(CONCATENATE('Ввод исходных данных'!$D$10,'Ввод исходных данных'!$D$11),Климатология!$D$9:$BF$548,M130+3,0)</f>
        <v>#N/A</v>
      </c>
      <c r="N147" s="507" t="e">
        <f>VLOOKUP(CONCATENATE('Ввод исходных данных'!$D$10,'Ввод исходных данных'!$D$11),Климатология!$D$9:$BF$548,N130+3,0)</f>
        <v>#N/A</v>
      </c>
      <c r="O147" s="507" t="e">
        <f>VLOOKUP(CONCATENATE('Ввод исходных данных'!$D$10,'Ввод исходных данных'!$D$11),Климатология!$D$9:$BF$548,O130+3,0)</f>
        <v>#N/A</v>
      </c>
      <c r="P147" s="507" t="e">
        <f>VLOOKUP(CONCATENATE('Ввод исходных данных'!$D$10,'Ввод исходных данных'!$D$11),Климатология!$D$9:$BF$548,P130+3,0)</f>
        <v>#N/A</v>
      </c>
      <c r="Q147" s="507" t="e">
        <f>VLOOKUP(CONCATENATE('Ввод исходных данных'!$D$10,'Ввод исходных данных'!$D$11),Климатология!$D$9:$BF$548,Q130+3,0)</f>
        <v>#N/A</v>
      </c>
      <c r="R147" s="507" t="e">
        <f>VLOOKUP(CONCATENATE('Ввод исходных данных'!$D$10,'Ввод исходных данных'!$D$11),Климатология!$D$9:$BF$548,R130+3,0)</f>
        <v>#N/A</v>
      </c>
      <c r="S147" s="87"/>
      <c r="T147" s="87"/>
      <c r="U147" s="87"/>
      <c r="V147" s="87"/>
      <c r="W147" s="87"/>
      <c r="X147" s="87"/>
      <c r="Y147" s="87"/>
      <c r="Z147" s="87"/>
      <c r="AA147" s="87"/>
      <c r="AB147" s="87"/>
      <c r="AC147" s="87"/>
      <c r="AD147" s="87"/>
      <c r="AE147" s="87"/>
      <c r="AF147" s="87"/>
      <c r="AG147" s="87"/>
      <c r="AH147" s="87"/>
    </row>
    <row r="148" spans="1:34" x14ac:dyDescent="0.25">
      <c r="A148" s="508" t="s">
        <v>497</v>
      </c>
      <c r="B148" s="509" t="s">
        <v>531</v>
      </c>
      <c r="C148" s="510" t="s">
        <v>498</v>
      </c>
      <c r="D148" s="511" t="e">
        <f>IF(D149&gt;45,10,IF(D149&lt;=20,17,17-(D149-20)*7/25))</f>
        <v>#DIV/0!</v>
      </c>
      <c r="E148" s="87"/>
      <c r="F148" s="512">
        <f>17*D150/1000</f>
        <v>0</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25">
      <c r="A149" s="508" t="s">
        <v>499</v>
      </c>
      <c r="B149" s="509" t="s">
        <v>500</v>
      </c>
      <c r="C149" s="510" t="s">
        <v>501</v>
      </c>
      <c r="D149" s="513" t="e">
        <f>'Ввод исходных данных'!$G$44/'Ввод исходных данных'!$D$21</f>
        <v>#DIV/0!</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25">
      <c r="A150" s="493" t="s">
        <v>1412</v>
      </c>
      <c r="B150" s="509" t="s">
        <v>1413</v>
      </c>
      <c r="C150" s="514" t="s">
        <v>492</v>
      </c>
      <c r="D150" s="513">
        <f>'Ввод исходных данных'!G45</f>
        <v>0</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25">
      <c r="A151" s="515" t="s">
        <v>512</v>
      </c>
      <c r="B151" s="516" t="s">
        <v>522</v>
      </c>
      <c r="C151" s="514" t="s">
        <v>526</v>
      </c>
      <c r="D151" s="517">
        <v>30</v>
      </c>
      <c r="E151" s="87"/>
      <c r="F151" s="512" t="e">
        <f>(D151*D152*'Ввод исходных данных'!$D$21*0.28+D189*0.28)*1.006*0.001*(20+25)+E161*(20+25)</f>
        <v>#DIV/0!</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25">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25">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25">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25">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25">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25">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25">
      <c r="A158" s="508" t="s">
        <v>527</v>
      </c>
      <c r="B158" s="509" t="s">
        <v>532</v>
      </c>
      <c r="C158" s="506" t="s">
        <v>746</v>
      </c>
      <c r="D158" s="936">
        <f>SUMPRODUCT('Система отопления'!B23:B28,'Система отопления'!C23:C28)</f>
        <v>1.07</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25">
      <c r="A159" s="486" t="s">
        <v>743</v>
      </c>
      <c r="B159" s="521" t="s">
        <v>1314</v>
      </c>
      <c r="C159" s="506" t="s">
        <v>747</v>
      </c>
      <c r="D159" s="108">
        <f>'Ввод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25">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25">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0</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0</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0</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0</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0</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0</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0</v>
      </c>
      <c r="S161" s="87"/>
      <c r="T161" s="87"/>
      <c r="U161" s="87"/>
      <c r="V161" s="87"/>
      <c r="W161" s="87"/>
      <c r="X161" s="87"/>
      <c r="Y161" s="87"/>
      <c r="Z161" s="87"/>
      <c r="AA161" s="87"/>
      <c r="AB161" s="87"/>
      <c r="AC161" s="87"/>
      <c r="AD161" s="87"/>
      <c r="AE161" s="87"/>
    </row>
    <row r="162" spans="1:31" x14ac:dyDescent="0.25">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25">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25">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25">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25">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1</v>
      </c>
      <c r="N166" s="87">
        <f>IF('Ввод исходных данных'!$D$110='Расчет базового уровня'!N129,1,0)</f>
        <v>0</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25">
      <c r="A167" s="523" t="s">
        <v>905</v>
      </c>
      <c r="B167" s="524" t="s">
        <v>1492</v>
      </c>
      <c r="C167" s="506" t="s">
        <v>906</v>
      </c>
      <c r="D167" s="525" t="e">
        <f>D168*365/(D146+D169*(D170-D146))</f>
        <v>#N/A</v>
      </c>
      <c r="E167" s="87"/>
      <c r="F167" s="334" t="e">
        <f>SUMPRODUCT(G167:R167,G170:R170)/365</f>
        <v>#N/A</v>
      </c>
      <c r="G167" s="525" t="e">
        <f>IF(G146&gt;=0.8*G165,$D$167,$D$169*$D$167)</f>
        <v>#N/A</v>
      </c>
      <c r="H167" s="525" t="e">
        <f t="shared" ref="H167:R167" si="211">IF(H146&gt;=0.8*H165,$D$167,$D$169*$D$167)</f>
        <v>#N/A</v>
      </c>
      <c r="I167" s="525" t="e">
        <f t="shared" si="211"/>
        <v>#N/A</v>
      </c>
      <c r="J167" s="525" t="e">
        <f t="shared" si="211"/>
        <v>#N/A</v>
      </c>
      <c r="K167" s="525" t="e">
        <f t="shared" si="211"/>
        <v>#N/A</v>
      </c>
      <c r="L167" s="525" t="e">
        <f t="shared" si="211"/>
        <v>#N/A</v>
      </c>
      <c r="M167" s="525" t="e">
        <f t="shared" si="211"/>
        <v>#N/A</v>
      </c>
      <c r="N167" s="525" t="e">
        <f t="shared" si="211"/>
        <v>#N/A</v>
      </c>
      <c r="O167" s="525" t="e">
        <f t="shared" si="211"/>
        <v>#N/A</v>
      </c>
      <c r="P167" s="525" t="e">
        <f t="shared" si="211"/>
        <v>#N/A</v>
      </c>
      <c r="Q167" s="525" t="e">
        <f t="shared" si="211"/>
        <v>#N/A</v>
      </c>
      <c r="R167" s="525" t="e">
        <f t="shared" si="211"/>
        <v>#N/A</v>
      </c>
      <c r="S167" s="87"/>
      <c r="T167" s="87"/>
      <c r="U167" s="87"/>
      <c r="V167" s="87"/>
      <c r="W167" s="87"/>
      <c r="X167" s="87"/>
      <c r="Y167" s="87"/>
      <c r="Z167" s="87"/>
      <c r="AA167" s="87"/>
      <c r="AB167" s="87"/>
      <c r="AC167" s="87"/>
      <c r="AD167" s="87"/>
      <c r="AE167" s="87"/>
    </row>
    <row r="168" spans="1:31" ht="15.75" customHeight="1" x14ac:dyDescent="0.25">
      <c r="A168" s="523" t="s">
        <v>907</v>
      </c>
      <c r="B168" s="524" t="s">
        <v>542</v>
      </c>
      <c r="C168" s="506" t="s">
        <v>906</v>
      </c>
      <c r="D168" s="526">
        <f>SUMPRODUCT('Система ГВС'!D5:D9,'Система ГВС'!E5:E9)</f>
        <v>85</v>
      </c>
      <c r="E168" s="87"/>
      <c r="F168" s="87"/>
      <c r="G168" s="939">
        <f>SUMPRODUCT('Система ГВС'!D5:D9,'Система ГВС'!E5:E9)</f>
        <v>85</v>
      </c>
      <c r="H168" s="939">
        <f>SUMPRODUCT('Система ГВС'!D5:D9,'Система ГВС'!E5:E9)</f>
        <v>85</v>
      </c>
      <c r="I168" s="939">
        <f>SUMPRODUCT('Система ГВС'!D5:D9,'Система ГВС'!E5:E9)</f>
        <v>85</v>
      </c>
      <c r="J168" s="939">
        <f>SUMPRODUCT('Система ГВС'!D5:D9,'Система ГВС'!E5:E9)</f>
        <v>85</v>
      </c>
      <c r="K168" s="939">
        <f>SUMPRODUCT('Система ГВС'!D5:D9,'Система ГВС'!E5:E9)</f>
        <v>85</v>
      </c>
      <c r="L168" s="939">
        <f>SUMPRODUCT('Система ГВС'!D5:D9,'Система ГВС'!E5:E9)</f>
        <v>85</v>
      </c>
      <c r="M168" s="939">
        <f>SUMPRODUCT('Система ГВС'!D5:D9,'Система ГВС'!E5:E9)</f>
        <v>85</v>
      </c>
      <c r="N168" s="939">
        <f>SUMPRODUCT('Система ГВС'!D5:D9,'Система ГВС'!E5:E9)</f>
        <v>85</v>
      </c>
      <c r="O168" s="939">
        <f>SUMPRODUCT('Система ГВС'!D5:D9,'Система ГВС'!E5:E9)</f>
        <v>85</v>
      </c>
      <c r="P168" s="939">
        <f>SUMPRODUCT('Система ГВС'!D5:D9,'Система ГВС'!E5:E9)</f>
        <v>85</v>
      </c>
      <c r="Q168" s="939">
        <f>SUMPRODUCT('Система ГВС'!D5:D9,'Система ГВС'!E5:E9)</f>
        <v>85</v>
      </c>
      <c r="R168" s="939">
        <f>SUMPRODUCT('Система ГВС'!D5:D9,'Система ГВС'!E5:E9)</f>
        <v>85</v>
      </c>
      <c r="S168" s="87"/>
      <c r="T168" s="87"/>
      <c r="U168" s="87"/>
      <c r="V168" s="87"/>
      <c r="W168" s="87"/>
      <c r="X168" s="87"/>
      <c r="Y168" s="87"/>
      <c r="Z168" s="87"/>
      <c r="AA168" s="87"/>
      <c r="AB168" s="87"/>
      <c r="AC168" s="87"/>
      <c r="AD168" s="87"/>
      <c r="AE168" s="87"/>
    </row>
    <row r="169" spans="1:31" ht="15.75" customHeight="1" x14ac:dyDescent="0.25">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25">
      <c r="A170" s="523"/>
      <c r="B170" s="524" t="s">
        <v>546</v>
      </c>
      <c r="C170" s="506" t="s">
        <v>543</v>
      </c>
      <c r="D170" s="528">
        <f>365-'Ввод исходных данных'!D109</f>
        <v>351</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17</v>
      </c>
      <c r="N170" s="528">
        <f>N165-N166*'Ввод исходных данных'!$D$109</f>
        <v>31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25">
      <c r="A171" s="523" t="s">
        <v>908</v>
      </c>
      <c r="B171" s="524" t="s">
        <v>547</v>
      </c>
      <c r="C171" s="506" t="s">
        <v>559</v>
      </c>
      <c r="D171" s="529" t="e">
        <f>D167*'Ввод исходных данных'!$D$21/24/1000</f>
        <v>#N/A</v>
      </c>
      <c r="E171" s="87"/>
      <c r="F171" s="87"/>
      <c r="G171" s="529" t="e">
        <f>G167*'Ввод исходных данных'!$D$21/24/1000</f>
        <v>#N/A</v>
      </c>
      <c r="H171" s="529" t="e">
        <f>H167*'Ввод исходных данных'!$D$21/24/1000</f>
        <v>#N/A</v>
      </c>
      <c r="I171" s="529" t="e">
        <f>I167*'Ввод исходных данных'!$D$21/24/1000</f>
        <v>#N/A</v>
      </c>
      <c r="J171" s="529" t="e">
        <f>J167*'Ввод исходных данных'!$D$21/24/1000</f>
        <v>#N/A</v>
      </c>
      <c r="K171" s="529" t="e">
        <f>K167*'Ввод исходных данных'!$D$21/24/1000</f>
        <v>#N/A</v>
      </c>
      <c r="L171" s="529" t="e">
        <f>L167*'Ввод исходных данных'!$D$21/24/1000</f>
        <v>#N/A</v>
      </c>
      <c r="M171" s="529" t="e">
        <f>M167*'Ввод исходных данных'!$D$21/24/1000</f>
        <v>#N/A</v>
      </c>
      <c r="N171" s="529" t="e">
        <f>N167*'Ввод исходных данных'!$D$21/24/1000</f>
        <v>#N/A</v>
      </c>
      <c r="O171" s="529" t="e">
        <f>O167*'Ввод исходных данных'!$D$21/24/1000</f>
        <v>#N/A</v>
      </c>
      <c r="P171" s="529" t="e">
        <f>P167*'Ввод исходных данных'!$D$21/24/1000</f>
        <v>#N/A</v>
      </c>
      <c r="Q171" s="529" t="e">
        <f>Q167*'Ввод исходных данных'!$D$21/24/1000</f>
        <v>#N/A</v>
      </c>
      <c r="R171" s="529" t="e">
        <f>R167*'Ввод исходных данных'!$D$21/24/1000</f>
        <v>#N/A</v>
      </c>
      <c r="S171" s="87"/>
      <c r="T171" s="87"/>
      <c r="U171" s="87"/>
      <c r="V171" s="87"/>
      <c r="W171" s="87"/>
      <c r="X171" s="87"/>
      <c r="Y171" s="87"/>
      <c r="Z171" s="87"/>
      <c r="AA171" s="87"/>
      <c r="AB171" s="87"/>
      <c r="AC171" s="87"/>
      <c r="AD171" s="87"/>
      <c r="AE171" s="87"/>
    </row>
    <row r="172" spans="1:31" ht="15.75" customHeight="1" x14ac:dyDescent="0.25">
      <c r="A172" s="523" t="s">
        <v>909</v>
      </c>
      <c r="B172" s="524" t="s">
        <v>548</v>
      </c>
      <c r="C172" s="506" t="s">
        <v>559</v>
      </c>
      <c r="D172" s="529" t="e">
        <f>D171*'Система электроснабжения'!$C$55</f>
        <v>#N/A</v>
      </c>
      <c r="E172" s="87" t="e">
        <f>D172*(60-5)*4.2/3.6*1.1</f>
        <v>#N/A</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25">
      <c r="A173" s="523" t="s">
        <v>910</v>
      </c>
      <c r="B173" s="524" t="s">
        <v>551</v>
      </c>
      <c r="C173" s="506" t="s">
        <v>513</v>
      </c>
      <c r="D173" s="530" t="e">
        <f xml:space="preserve"> (D167*(D174-D175)*(1+D176)*1*D177)/(3.6*24*D178)</f>
        <v>#N/A</v>
      </c>
      <c r="E173" s="87" t="e">
        <f>E172*0.86/1000</f>
        <v>#N/A</v>
      </c>
      <c r="F173" s="87"/>
      <c r="G173" s="530" t="e">
        <f xml:space="preserve"> (G167*($D$174-IF(G146&gt;=0.8*G165,$D$175,'Ввод исходных данных'!$D$108))*(1+$D$176)*1*$D$177)/(3.6*24*$D$178)</f>
        <v>#N/A</v>
      </c>
      <c r="H173" s="530" t="e">
        <f xml:space="preserve"> (H167*($D$174-IF(H146&gt;=0.8*H165,$D$175,'Ввод исходных данных'!$D$108))*(1+$D$176)*1*$D$177)/(3.6*24*$D$178)</f>
        <v>#N/A</v>
      </c>
      <c r="I173" s="530" t="e">
        <f xml:space="preserve"> (I167*($D$174-IF(I146&gt;=0.8*I165,$D$175,'Ввод исходных данных'!$D$108))*(1+$D$176)*1*$D$177)/(3.6*24*$D$178)</f>
        <v>#N/A</v>
      </c>
      <c r="J173" s="530" t="e">
        <f xml:space="preserve"> (J167*($D$174-IF(J146&gt;=0.8*J165,$D$175,'Ввод исходных данных'!$D$108))*(1+$D$176)*1*$D$177)/(3.6*24*$D$178)</f>
        <v>#N/A</v>
      </c>
      <c r="K173" s="530" t="e">
        <f xml:space="preserve"> (K167*($D$174-IF(K146&gt;=0.8*K165,$D$175,'Ввод исходных данных'!$D$108))*(1+$D$176)*1*$D$177)/(3.6*24*$D$178)</f>
        <v>#N/A</v>
      </c>
      <c r="L173" s="530" t="e">
        <f xml:space="preserve"> (L167*($D$174-IF(L146&gt;=0.8*L165,$D$175,'Ввод исходных данных'!$D$108))*(1+$D$176)*1*$D$177)/(3.6*24*$D$178)</f>
        <v>#N/A</v>
      </c>
      <c r="M173" s="530" t="e">
        <f xml:space="preserve"> (M167*($D$174-IF(M146&gt;=0.8*M165,$D$175,'Ввод исходных данных'!$D$108))*(1+$D$176)*1*$D$177)/(3.6*24*$D$178)</f>
        <v>#N/A</v>
      </c>
      <c r="N173" s="530" t="e">
        <f xml:space="preserve"> (N167*($D$174-IF(N146&gt;=0.8*N165,$D$175,'Ввод исходных данных'!$D$108))*(1+$D$176)*1*$D$177)/(3.6*24*$D$178)</f>
        <v>#N/A</v>
      </c>
      <c r="O173" s="530" t="e">
        <f xml:space="preserve"> (O167*($D$174-IF(O146&gt;=0.8*O165,$D$175,'Ввод исходных данных'!$D$108))*(1+$D$176)*1*$D$177)/(3.6*24*$D$178)</f>
        <v>#N/A</v>
      </c>
      <c r="P173" s="530" t="e">
        <f xml:space="preserve"> (P167*($D$174-IF(P146&gt;=0.8*P165,$D$175,'Ввод исходных данных'!$D$108))*(1+$D$176)*1*$D$177)/(3.6*24*$D$178)</f>
        <v>#N/A</v>
      </c>
      <c r="Q173" s="530" t="e">
        <f xml:space="preserve"> (Q167*($D$174-IF(Q146&gt;=0.8*Q165,$D$175,'Ввод исходных данных'!$D$108))*(1+$D$176)*1*$D$177)/(3.6*24*$D$178)</f>
        <v>#N/A</v>
      </c>
      <c r="R173" s="530" t="e">
        <f xml:space="preserve"> (R167*($D$174-IF(R146&gt;=0.8*R165,$D$175,'Ввод исходных данных'!$D$108))*(1+$D$176)*1*$D$177)/(3.6*24*$D$178)</f>
        <v>#N/A</v>
      </c>
      <c r="S173" s="87"/>
      <c r="T173" s="87"/>
      <c r="U173" s="87"/>
      <c r="V173" s="87"/>
      <c r="W173" s="87"/>
      <c r="X173" s="87"/>
      <c r="Y173" s="87"/>
      <c r="Z173" s="87"/>
      <c r="AA173" s="87"/>
      <c r="AB173" s="87"/>
      <c r="AC173" s="87"/>
      <c r="AD173" s="87"/>
      <c r="AE173" s="87"/>
    </row>
    <row r="174" spans="1:31" ht="15.75" customHeight="1" x14ac:dyDescent="0.25">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0.25</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25">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25">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25">
      <c r="A179" s="527" t="s">
        <v>914</v>
      </c>
      <c r="B179" s="532" t="s">
        <v>750</v>
      </c>
      <c r="C179" s="506" t="s">
        <v>562</v>
      </c>
      <c r="D179" s="525" t="e">
        <f>'Ввод исходных данных'!G44/'Ввод исходных данных'!D21</f>
        <v>#DIV/0!</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2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25">
      <c r="A181" s="527" t="s">
        <v>1592</v>
      </c>
      <c r="B181" s="532" t="s">
        <v>1593</v>
      </c>
      <c r="C181" s="506" t="s">
        <v>1599</v>
      </c>
      <c r="D181" s="525" t="e">
        <f>0.28*'Ввод исходных данных'!$G$48*(D183-D184)+0.03*D183*Климатология!$H$2^2</f>
        <v>#N/A</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25">
      <c r="A182" s="527" t="s">
        <v>1595</v>
      </c>
      <c r="B182" s="532" t="s">
        <v>1594</v>
      </c>
      <c r="C182" s="506" t="s">
        <v>1599</v>
      </c>
      <c r="D182" s="525" t="e">
        <f>0.55*('Ввод исходных данных'!$G$48-1)*(D183-D184)+0.03*D183*Климатология!$H$2^2</f>
        <v>#N/A</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25">
      <c r="A183" s="527" t="s">
        <v>1596</v>
      </c>
      <c r="B183" s="532"/>
      <c r="C183" s="506" t="s">
        <v>1600</v>
      </c>
      <c r="D183" s="525" t="e">
        <f>3463/(273+Климатология!$F$2)</f>
        <v>#N/A</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25">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25">
      <c r="A185" s="527" t="s">
        <v>1591</v>
      </c>
      <c r="B185" s="532"/>
      <c r="C185" s="506" t="s">
        <v>1601</v>
      </c>
      <c r="D185" s="534" t="e">
        <f>0.12*(1-'Ввод исходных данных'!$D$33/'Ввод исходных данных'!$G$54)+0.86*'Ввод исходных данных'!$D$33/'Ввод исходных данных'!$G$54</f>
        <v>#DIV/0!</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25">
      <c r="A186" s="527" t="s">
        <v>1590</v>
      </c>
      <c r="B186" s="532"/>
      <c r="C186" s="506" t="s">
        <v>1601</v>
      </c>
      <c r="D186" s="534">
        <f>IF(списки!$D$34=0,0.14,0.16)</f>
        <v>0.14000000000000001</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25">
      <c r="A187" s="527" t="s">
        <v>1589</v>
      </c>
      <c r="B187" s="532"/>
      <c r="C187" s="506" t="s">
        <v>1602</v>
      </c>
      <c r="D187" s="525" t="e">
        <f>(B136/D185)*(D181/10)^(2/3)</f>
        <v>#DIV/0!</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25">
      <c r="A188" s="527" t="s">
        <v>1588</v>
      </c>
      <c r="B188" s="532"/>
      <c r="C188" s="506" t="s">
        <v>1602</v>
      </c>
      <c r="D188" s="525" t="e">
        <f>(B143/D186)*(D182/10)^(1/2)</f>
        <v>#N/A</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25">
      <c r="A189" s="527" t="s">
        <v>1587</v>
      </c>
      <c r="B189" s="532"/>
      <c r="C189" s="506" t="s">
        <v>1602</v>
      </c>
      <c r="D189" s="525" t="e">
        <f>D187+D188</f>
        <v>#DIV/0!</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25">
      <c r="A190" s="527" t="s">
        <v>1586</v>
      </c>
      <c r="B190" s="532"/>
      <c r="C190" s="506" t="s">
        <v>496</v>
      </c>
      <c r="D190" s="525" t="e">
        <f>0.024*$D$187*'Расчет базового уровня'!$D$147*0.28</f>
        <v>#DIV/0!</v>
      </c>
      <c r="E190" s="87"/>
      <c r="F190" s="87"/>
      <c r="G190" s="525" t="e">
        <f>0.024*$D$187*'Расчет базового уровня'!G$147*0.28</f>
        <v>#DIV/0!</v>
      </c>
      <c r="H190" s="525" t="e">
        <f>0.024*$D$187*'Расчет базового уровня'!H$147*0.28</f>
        <v>#DIV/0!</v>
      </c>
      <c r="I190" s="525" t="e">
        <f>0.024*$D$187*'Расчет базового уровня'!I$147*0.28</f>
        <v>#DIV/0!</v>
      </c>
      <c r="J190" s="525" t="e">
        <f>0.024*$D$187*'Расчет базового уровня'!J$147*0.28</f>
        <v>#DIV/0!</v>
      </c>
      <c r="K190" s="525" t="e">
        <f>0.024*$D$187*'Расчет базового уровня'!K$147*0.28</f>
        <v>#DIV/0!</v>
      </c>
      <c r="L190" s="525" t="e">
        <f>0.024*$D$187*'Расчет базового уровня'!L$147*0.28</f>
        <v>#DIV/0!</v>
      </c>
      <c r="M190" s="525" t="e">
        <f>0.024*$D$187*'Расчет базового уровня'!M$147*0.28</f>
        <v>#DIV/0!</v>
      </c>
      <c r="N190" s="525" t="e">
        <f>0.024*$D$187*'Расчет базового уровня'!N$147*0.28</f>
        <v>#DIV/0!</v>
      </c>
      <c r="O190" s="525" t="e">
        <f>0.024*$D$187*'Расчет базового уровня'!O$147*0.28</f>
        <v>#DIV/0!</v>
      </c>
      <c r="P190" s="525" t="e">
        <f>0.024*$D$187*'Расчет базового уровня'!P$147*0.28</f>
        <v>#DIV/0!</v>
      </c>
      <c r="Q190" s="525" t="e">
        <f>0.024*$D$187*'Расчет базового уровня'!Q$147*0.28</f>
        <v>#DIV/0!</v>
      </c>
      <c r="R190" s="525" t="e">
        <f>0.024*$D$187*'Расчет базового уровня'!R$147*0.28</f>
        <v>#DIV/0!</v>
      </c>
      <c r="S190" s="87"/>
      <c r="T190" s="87"/>
      <c r="U190" s="87"/>
      <c r="V190" s="87"/>
      <c r="W190" s="87"/>
      <c r="X190" s="87"/>
      <c r="Y190" s="87"/>
      <c r="Z190" s="87"/>
      <c r="AA190" s="87"/>
      <c r="AB190" s="87"/>
      <c r="AC190" s="87"/>
      <c r="AD190" s="87"/>
      <c r="AE190" s="87"/>
    </row>
    <row r="191" spans="1:32" x14ac:dyDescent="0.25">
      <c r="A191" s="527" t="s">
        <v>1585</v>
      </c>
      <c r="B191" s="532"/>
      <c r="C191" s="506" t="s">
        <v>496</v>
      </c>
      <c r="D191" s="525" t="e">
        <f>0.024*$D$188*'Расчет базового уровня'!$D$147*0.28</f>
        <v>#N/A</v>
      </c>
      <c r="E191" s="87"/>
      <c r="F191" s="87"/>
      <c r="G191" s="525" t="e">
        <f>0.024*$D$188*'Расчет базового уровня'!G$147*0.28</f>
        <v>#N/A</v>
      </c>
      <c r="H191" s="525" t="e">
        <f>0.024*$D$188*'Расчет базового уровня'!H$147*0.28</f>
        <v>#N/A</v>
      </c>
      <c r="I191" s="525" t="e">
        <f>0.024*$D$188*'Расчет базового уровня'!I$147*0.28</f>
        <v>#N/A</v>
      </c>
      <c r="J191" s="525" t="e">
        <f>0.024*$D$188*'Расчет базового уровня'!J$147*0.28</f>
        <v>#N/A</v>
      </c>
      <c r="K191" s="525" t="e">
        <f>0.024*$D$188*'Расчет базового уровня'!K$147*0.28</f>
        <v>#N/A</v>
      </c>
      <c r="L191" s="525" t="e">
        <f>0.024*$D$188*'Расчет базового уровня'!L$147*0.28</f>
        <v>#N/A</v>
      </c>
      <c r="M191" s="525" t="e">
        <f>0.024*$D$188*'Расчет базового уровня'!M$147*0.28</f>
        <v>#N/A</v>
      </c>
      <c r="N191" s="525" t="e">
        <f>0.024*$D$188*'Расчет базового уровня'!N$147*0.28</f>
        <v>#N/A</v>
      </c>
      <c r="O191" s="525" t="e">
        <f>0.024*$D$188*'Расчет базового уровня'!O$147*0.28</f>
        <v>#N/A</v>
      </c>
      <c r="P191" s="525" t="e">
        <f>0.024*$D$188*'Расчет базового уровня'!P$147*0.28</f>
        <v>#N/A</v>
      </c>
      <c r="Q191" s="525" t="e">
        <f>0.024*$D$188*'Расчет базового уровня'!Q$147*0.28</f>
        <v>#N/A</v>
      </c>
      <c r="R191" s="525" t="e">
        <f>0.024*$D$188*'Расчет базового уровня'!R$147*0.28</f>
        <v>#N/A</v>
      </c>
      <c r="S191" s="87"/>
      <c r="T191" s="87"/>
      <c r="U191" s="87"/>
      <c r="V191" s="87"/>
      <c r="W191" s="87"/>
      <c r="X191" s="87"/>
      <c r="Y191" s="87"/>
      <c r="Z191" s="87"/>
      <c r="AA191" s="87"/>
      <c r="AB191" s="87"/>
      <c r="AC191" s="87"/>
      <c r="AD191" s="87"/>
      <c r="AE191" s="87"/>
    </row>
    <row r="192" spans="1:32" x14ac:dyDescent="0.25">
      <c r="A192" s="527" t="s">
        <v>1584</v>
      </c>
      <c r="B192" s="532"/>
      <c r="C192" s="506" t="s">
        <v>496</v>
      </c>
      <c r="D192" s="525" t="e">
        <f>0.024*$D$189*'Расчет базового уровня'!$D$147*0.28</f>
        <v>#DIV/0!</v>
      </c>
      <c r="E192" s="87"/>
      <c r="F192" s="87"/>
      <c r="G192" s="525" t="e">
        <f>0.024*$D$189*'Расчет базового уровня'!G$147*0.28</f>
        <v>#DIV/0!</v>
      </c>
      <c r="H192" s="525" t="e">
        <f>0.024*$D$189*'Расчет базового уровня'!H$147*0.28</f>
        <v>#DIV/0!</v>
      </c>
      <c r="I192" s="525" t="e">
        <f>0.024*$D$189*'Расчет базового уровня'!I$147*0.28</f>
        <v>#DIV/0!</v>
      </c>
      <c r="J192" s="525" t="e">
        <f>0.024*$D$189*'Расчет базового уровня'!J$147*0.28</f>
        <v>#DIV/0!</v>
      </c>
      <c r="K192" s="525" t="e">
        <f>0.024*$D$189*'Расчет базового уровня'!K$147*0.28</f>
        <v>#DIV/0!</v>
      </c>
      <c r="L192" s="525" t="e">
        <f>0.024*$D$189*'Расчет базового уровня'!L$147*0.28</f>
        <v>#DIV/0!</v>
      </c>
      <c r="M192" s="525" t="e">
        <f>0.024*$D$189*'Расчет базового уровня'!M$147*0.28</f>
        <v>#DIV/0!</v>
      </c>
      <c r="N192" s="525" t="e">
        <f>0.024*$D$189*'Расчет базового уровня'!N$147*0.28</f>
        <v>#DIV/0!</v>
      </c>
      <c r="O192" s="525" t="e">
        <f>0.024*$D$189*'Расчет базового уровня'!O$147*0.28</f>
        <v>#DIV/0!</v>
      </c>
      <c r="P192" s="525" t="e">
        <f>0.024*$D$189*'Расчет базового уровня'!P$147*0.28</f>
        <v>#DIV/0!</v>
      </c>
      <c r="Q192" s="525" t="e">
        <f>0.024*$D$189*'Расчет базового уровня'!Q$147*0.28</f>
        <v>#DIV/0!</v>
      </c>
      <c r="R192" s="525" t="e">
        <f>0.024*$D$189*'Расчет базового уровня'!R$147*0.28</f>
        <v>#DIV/0!</v>
      </c>
      <c r="S192" s="87"/>
      <c r="T192" s="87"/>
      <c r="U192" s="87"/>
      <c r="V192" s="87"/>
      <c r="W192" s="87"/>
      <c r="X192" s="87"/>
      <c r="Y192" s="87"/>
      <c r="Z192" s="87"/>
      <c r="AA192" s="87"/>
      <c r="AB192" s="87"/>
      <c r="AC192" s="87"/>
      <c r="AD192" s="87"/>
      <c r="AE192" s="87"/>
    </row>
    <row r="193" spans="4:31" x14ac:dyDescent="0.25">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25">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25">
      <c r="D195" s="112"/>
    </row>
  </sheetData>
  <sheetProtection password="ECB1"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40625" defaultRowHeight="15" x14ac:dyDescent="0.25"/>
  <cols>
    <col min="1" max="1" width="32.7109375" style="88" customWidth="1"/>
    <col min="2" max="2" width="9.28515625" style="88" customWidth="1"/>
    <col min="3" max="3" width="15.5703125" style="88" customWidth="1"/>
    <col min="4" max="4" width="13.140625" style="88" customWidth="1"/>
    <col min="5" max="5" width="15.140625" style="88" customWidth="1"/>
    <col min="6" max="6" width="12" style="88" customWidth="1"/>
    <col min="7" max="7" width="34.5703125" style="88" customWidth="1"/>
    <col min="8" max="8" width="7.7109375" style="88" customWidth="1"/>
    <col min="9" max="9" width="12.7109375" style="88" customWidth="1"/>
    <col min="10" max="10" width="13.42578125" style="88" customWidth="1"/>
    <col min="11" max="11" width="12.28515625" style="88" customWidth="1"/>
    <col min="12" max="12" width="13.140625" style="88" customWidth="1"/>
    <col min="13" max="13" width="12.7109375" style="88" customWidth="1"/>
    <col min="14" max="14" width="11.28515625" style="88" customWidth="1"/>
    <col min="15" max="15" width="15.7109375" style="88" customWidth="1"/>
    <col min="16" max="16" width="11.7109375" style="88" customWidth="1"/>
    <col min="17" max="17" width="11.42578125" style="88" customWidth="1"/>
    <col min="18" max="19" width="12.42578125" style="88" customWidth="1"/>
    <col min="20" max="20" width="12.5703125" style="88" customWidth="1"/>
    <col min="21" max="21" width="11.5703125" style="88" customWidth="1"/>
    <col min="22" max="22" width="12" style="88" customWidth="1"/>
    <col min="23" max="23" width="12.42578125" style="88" customWidth="1"/>
    <col min="24" max="24" width="14.140625" style="88" customWidth="1"/>
    <col min="25" max="25" width="12" style="88" customWidth="1"/>
    <col min="26" max="26" width="10.42578125" style="88" customWidth="1"/>
    <col min="27" max="27" width="11.7109375" style="88" customWidth="1"/>
    <col min="28" max="28" width="12.5703125" style="88" customWidth="1"/>
    <col min="29" max="29" width="12.7109375" style="88" customWidth="1"/>
    <col min="30" max="30" width="12.42578125" style="88" customWidth="1"/>
    <col min="31" max="31" width="12.5703125" style="88" customWidth="1"/>
    <col min="32" max="32" width="13.28515625" style="88" customWidth="1"/>
    <col min="33" max="16384" width="9.140625" style="88"/>
  </cols>
  <sheetData>
    <row r="1" spans="1:47"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
      <c r="A3" s="1783" t="s">
        <v>1172</v>
      </c>
      <c r="B3" s="1783"/>
      <c r="C3" s="1783"/>
      <c r="D3" s="1783"/>
      <c r="E3" s="1783"/>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25">
      <c r="A4" s="1787" t="s">
        <v>834</v>
      </c>
      <c r="B4" s="1773" t="s">
        <v>1174</v>
      </c>
      <c r="C4" s="1769" t="s">
        <v>1346</v>
      </c>
      <c r="D4" s="1789" t="s">
        <v>1345</v>
      </c>
      <c r="E4" s="87"/>
      <c r="F4" s="87"/>
      <c r="G4" s="1807" t="s">
        <v>834</v>
      </c>
      <c r="H4" s="1792" t="s">
        <v>1174</v>
      </c>
      <c r="I4" s="1792" t="s">
        <v>488</v>
      </c>
      <c r="J4" s="1792"/>
      <c r="K4" s="1792" t="s">
        <v>489</v>
      </c>
      <c r="L4" s="1792"/>
      <c r="M4" s="1792" t="s">
        <v>490</v>
      </c>
      <c r="N4" s="1792"/>
      <c r="O4" s="1792" t="s">
        <v>491</v>
      </c>
      <c r="P4" s="1792"/>
      <c r="Q4" s="1792" t="s">
        <v>805</v>
      </c>
      <c r="R4" s="1792"/>
      <c r="S4" s="1792" t="s">
        <v>806</v>
      </c>
      <c r="T4" s="1792"/>
      <c r="U4" s="1792" t="s">
        <v>807</v>
      </c>
      <c r="V4" s="1792"/>
      <c r="W4" s="1792" t="s">
        <v>808</v>
      </c>
      <c r="X4" s="1792"/>
      <c r="Y4" s="1792" t="s">
        <v>809</v>
      </c>
      <c r="Z4" s="1792"/>
      <c r="AA4" s="1792" t="s">
        <v>482</v>
      </c>
      <c r="AB4" s="1792"/>
      <c r="AC4" s="1792" t="s">
        <v>486</v>
      </c>
      <c r="AD4" s="1792"/>
      <c r="AE4" s="1792" t="s">
        <v>487</v>
      </c>
      <c r="AF4" s="1792"/>
      <c r="AG4" s="87"/>
      <c r="AH4" s="87"/>
      <c r="AI4" s="87"/>
      <c r="AJ4" s="87"/>
      <c r="AK4" s="87"/>
      <c r="AL4" s="87"/>
      <c r="AM4" s="87"/>
      <c r="AN4" s="87"/>
      <c r="AO4" s="87"/>
      <c r="AP4" s="87"/>
      <c r="AQ4" s="87"/>
      <c r="AR4" s="87"/>
      <c r="AS4" s="87"/>
      <c r="AT4" s="87"/>
      <c r="AU4" s="87"/>
    </row>
    <row r="5" spans="1:47" ht="72.95" customHeight="1" x14ac:dyDescent="0.25">
      <c r="A5" s="1803"/>
      <c r="B5" s="1804"/>
      <c r="C5" s="1806"/>
      <c r="D5" s="1805"/>
      <c r="E5" s="87"/>
      <c r="F5" s="87"/>
      <c r="G5" s="1808"/>
      <c r="H5" s="1809"/>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25">
      <c r="A6" s="320" t="s">
        <v>1178</v>
      </c>
      <c r="B6" s="321" t="s">
        <v>842</v>
      </c>
      <c r="C6" s="322">
        <f>'Расчет базового уровня'!D6</f>
        <v>0</v>
      </c>
      <c r="D6" s="322" t="e">
        <f>D12+D15+D18</f>
        <v>#N/A</v>
      </c>
      <c r="E6" s="87"/>
      <c r="F6" s="87"/>
      <c r="G6" s="320" t="s">
        <v>1178</v>
      </c>
      <c r="H6" s="321" t="s">
        <v>842</v>
      </c>
      <c r="I6" s="323" t="e">
        <f>'Расчет базового уровня'!J6</f>
        <v>#N/A</v>
      </c>
      <c r="J6" s="323" t="e">
        <f>J12+J15+J18</f>
        <v>#N/A</v>
      </c>
      <c r="K6" s="323" t="e">
        <f>'Расчет базового уровня'!M6</f>
        <v>#N/A</v>
      </c>
      <c r="L6" s="323" t="e">
        <f>L12+L15+L18</f>
        <v>#N/A</v>
      </c>
      <c r="M6" s="323" t="e">
        <f>'Расчет базового уровня'!P6</f>
        <v>#N/A</v>
      </c>
      <c r="N6" s="323" t="e">
        <f>N12+N15+N18</f>
        <v>#N/A</v>
      </c>
      <c r="O6" s="323" t="e">
        <f>'Расчет базового уровня'!S6</f>
        <v>#N/A</v>
      </c>
      <c r="P6" s="323" t="e">
        <f>P12+P15+P18</f>
        <v>#N/A</v>
      </c>
      <c r="Q6" s="323" t="e">
        <f>'Расчет базового уровня'!V6</f>
        <v>#N/A</v>
      </c>
      <c r="R6" s="323" t="e">
        <f>R12+R15+R18</f>
        <v>#N/A</v>
      </c>
      <c r="S6" s="323" t="e">
        <f>'Расчет базового уровня'!Y6</f>
        <v>#N/A</v>
      </c>
      <c r="T6" s="323" t="e">
        <f>T12+T15+T18</f>
        <v>#N/A</v>
      </c>
      <c r="U6" s="323" t="e">
        <f>'Расчет базового уровня'!AB6</f>
        <v>#N/A</v>
      </c>
      <c r="V6" s="323" t="e">
        <f>V12+V15+V18</f>
        <v>#N/A</v>
      </c>
      <c r="W6" s="323" t="e">
        <f>'Расчет базового уровня'!AE6</f>
        <v>#N/A</v>
      </c>
      <c r="X6" s="323" t="e">
        <f>X12+X15+X18</f>
        <v>#N/A</v>
      </c>
      <c r="Y6" s="323" t="e">
        <f>'Расчет базового уровня'!AH6</f>
        <v>#N/A</v>
      </c>
      <c r="Z6" s="323" t="e">
        <f>Z12+Z15+Z18</f>
        <v>#N/A</v>
      </c>
      <c r="AA6" s="323" t="e">
        <f>'Расчет базового уровня'!AK6</f>
        <v>#N/A</v>
      </c>
      <c r="AB6" s="323" t="e">
        <f>AB12+AB15+AB18</f>
        <v>#N/A</v>
      </c>
      <c r="AC6" s="323" t="e">
        <f>'Расчет базового уровня'!AN6</f>
        <v>#N/A</v>
      </c>
      <c r="AD6" s="323" t="e">
        <f>AD12+AD15+AD18</f>
        <v>#N/A</v>
      </c>
      <c r="AE6" s="323" t="e">
        <f>'Расчет базового уровня'!AQ6</f>
        <v>#N/A</v>
      </c>
      <c r="AF6" s="323" t="e">
        <f>AF12+AF15+AF18</f>
        <v>#N/A</v>
      </c>
      <c r="AG6" s="87"/>
      <c r="AH6" s="87"/>
      <c r="AI6" s="87"/>
      <c r="AJ6" s="87"/>
      <c r="AK6" s="87"/>
      <c r="AL6" s="87"/>
      <c r="AM6" s="87"/>
      <c r="AN6" s="87"/>
      <c r="AO6" s="87"/>
      <c r="AP6" s="87"/>
      <c r="AQ6" s="87"/>
      <c r="AR6" s="87"/>
      <c r="AS6" s="87"/>
      <c r="AT6" s="87"/>
      <c r="AU6" s="87"/>
    </row>
    <row r="7" spans="1:47" ht="19.5" customHeight="1" x14ac:dyDescent="0.25">
      <c r="A7" s="324" t="s">
        <v>1347</v>
      </c>
      <c r="B7" s="321" t="s">
        <v>842</v>
      </c>
      <c r="C7" s="325"/>
      <c r="D7" s="325" t="e">
        <f>C6-D6</f>
        <v>#N/A</v>
      </c>
      <c r="E7" s="87"/>
      <c r="F7" s="87"/>
      <c r="G7" s="324" t="s">
        <v>1347</v>
      </c>
      <c r="H7" s="321" t="s">
        <v>842</v>
      </c>
      <c r="I7" s="325"/>
      <c r="J7" s="325" t="e">
        <f>I6-J6</f>
        <v>#N/A</v>
      </c>
      <c r="K7" s="325"/>
      <c r="L7" s="325" t="e">
        <f>K6-L6</f>
        <v>#N/A</v>
      </c>
      <c r="M7" s="325"/>
      <c r="N7" s="325" t="e">
        <f>M6-N6</f>
        <v>#N/A</v>
      </c>
      <c r="O7" s="325"/>
      <c r="P7" s="325" t="e">
        <f>O6-P6</f>
        <v>#N/A</v>
      </c>
      <c r="Q7" s="325"/>
      <c r="R7" s="325" t="e">
        <f>Q6-R6</f>
        <v>#N/A</v>
      </c>
      <c r="S7" s="325"/>
      <c r="T7" s="325" t="e">
        <f>S6-T6</f>
        <v>#N/A</v>
      </c>
      <c r="U7" s="325"/>
      <c r="V7" s="325" t="e">
        <f>U6-V6</f>
        <v>#N/A</v>
      </c>
      <c r="W7" s="325"/>
      <c r="X7" s="325" t="e">
        <f>W6-X6</f>
        <v>#N/A</v>
      </c>
      <c r="Y7" s="325"/>
      <c r="Z7" s="325" t="e">
        <f>Y6-Z6</f>
        <v>#N/A</v>
      </c>
      <c r="AA7" s="325"/>
      <c r="AB7" s="325" t="e">
        <f>AA6-AB6</f>
        <v>#N/A</v>
      </c>
      <c r="AC7" s="325"/>
      <c r="AD7" s="325" t="e">
        <f>AC6-AD6</f>
        <v>#N/A</v>
      </c>
      <c r="AE7" s="325"/>
      <c r="AF7" s="325" t="e">
        <f>AE6-AF6</f>
        <v>#N/A</v>
      </c>
      <c r="AG7" s="87"/>
      <c r="AH7" s="87"/>
      <c r="AI7" s="87"/>
      <c r="AJ7" s="87"/>
      <c r="AK7" s="87"/>
      <c r="AL7" s="87"/>
      <c r="AM7" s="87"/>
      <c r="AN7" s="87"/>
      <c r="AO7" s="87"/>
      <c r="AP7" s="87"/>
      <c r="AQ7" s="87"/>
      <c r="AR7" s="87"/>
      <c r="AS7" s="87"/>
      <c r="AT7" s="87"/>
      <c r="AU7" s="87"/>
    </row>
    <row r="8" spans="1:47" ht="14.25" customHeight="1" x14ac:dyDescent="0.25">
      <c r="A8" s="324" t="s">
        <v>874</v>
      </c>
      <c r="B8" s="326" t="s">
        <v>1181</v>
      </c>
      <c r="C8" s="327"/>
      <c r="D8" s="327" t="e">
        <f>D7/C6</f>
        <v>#N/A</v>
      </c>
      <c r="E8" s="87"/>
      <c r="F8" s="87"/>
      <c r="G8" s="324" t="s">
        <v>874</v>
      </c>
      <c r="H8" s="326" t="s">
        <v>1181</v>
      </c>
      <c r="I8" s="327"/>
      <c r="J8" s="327" t="e">
        <f>IF(I6=0,0,J7/I6)</f>
        <v>#N/A</v>
      </c>
      <c r="K8" s="327"/>
      <c r="L8" s="327" t="e">
        <f>IF(K6=0,0,L7/K6)</f>
        <v>#N/A</v>
      </c>
      <c r="M8" s="327"/>
      <c r="N8" s="327" t="e">
        <f>IF(M6=0,0,N7/M6)</f>
        <v>#N/A</v>
      </c>
      <c r="O8" s="327"/>
      <c r="P8" s="327" t="e">
        <f>IF(O6=0,0,P7/O6)</f>
        <v>#N/A</v>
      </c>
      <c r="Q8" s="327"/>
      <c r="R8" s="327" t="e">
        <f>IF(Q6=0,0,R7/Q6)</f>
        <v>#N/A</v>
      </c>
      <c r="S8" s="327"/>
      <c r="T8" s="327" t="e">
        <f>IF(S6=0,0,T7/S6)</f>
        <v>#N/A</v>
      </c>
      <c r="U8" s="327"/>
      <c r="V8" s="327" t="e">
        <f>IF(U6=0,0,V7/U6)</f>
        <v>#N/A</v>
      </c>
      <c r="W8" s="327"/>
      <c r="X8" s="327" t="e">
        <f>IF(W6=0,0,X7/W6)</f>
        <v>#N/A</v>
      </c>
      <c r="Y8" s="327"/>
      <c r="Z8" s="327" t="e">
        <f>IF(Y6=0,0,Z7/Y6)</f>
        <v>#N/A</v>
      </c>
      <c r="AA8" s="327"/>
      <c r="AB8" s="327" t="e">
        <f>IF(AA6=0,0,AB7/AA6)</f>
        <v>#N/A</v>
      </c>
      <c r="AC8" s="327"/>
      <c r="AD8" s="327" t="e">
        <f>IF(AC6=0,0,AD7/AC6)</f>
        <v>#N/A</v>
      </c>
      <c r="AE8" s="327"/>
      <c r="AF8" s="327" t="e">
        <f>IF(AE6=0,0,AF7/AE6)</f>
        <v>#N/A</v>
      </c>
      <c r="AG8" s="87"/>
      <c r="AH8" s="87"/>
      <c r="AI8" s="87"/>
      <c r="AJ8" s="87"/>
      <c r="AK8" s="87"/>
      <c r="AL8" s="87"/>
      <c r="AM8" s="87"/>
      <c r="AN8" s="87"/>
      <c r="AO8" s="87"/>
      <c r="AP8" s="87"/>
      <c r="AQ8" s="87"/>
      <c r="AR8" s="87"/>
      <c r="AS8" s="87"/>
      <c r="AT8" s="87"/>
      <c r="AU8" s="87"/>
    </row>
    <row r="9" spans="1:47" ht="30" customHeight="1" x14ac:dyDescent="0.25">
      <c r="A9" s="328" t="s">
        <v>1182</v>
      </c>
      <c r="B9" s="321" t="s">
        <v>842</v>
      </c>
      <c r="C9" s="322">
        <f>'Расчет базового уровня'!D9</f>
        <v>0</v>
      </c>
      <c r="D9" s="322" t="e">
        <f>D12+D15</f>
        <v>#N/A</v>
      </c>
      <c r="E9" s="87"/>
      <c r="F9" s="87"/>
      <c r="G9" s="328" t="s">
        <v>1182</v>
      </c>
      <c r="H9" s="321" t="s">
        <v>842</v>
      </c>
      <c r="I9" s="323" t="e">
        <f>'Расчет базового уровня'!J9</f>
        <v>#N/A</v>
      </c>
      <c r="J9" s="323" t="e">
        <f>J12+J15</f>
        <v>#N/A</v>
      </c>
      <c r="K9" s="323" t="e">
        <f>'Расчет базового уровня'!M9</f>
        <v>#N/A</v>
      </c>
      <c r="L9" s="323" t="e">
        <f>L12+L15</f>
        <v>#N/A</v>
      </c>
      <c r="M9" s="323" t="e">
        <f>'Расчет базового уровня'!P9</f>
        <v>#N/A</v>
      </c>
      <c r="N9" s="323" t="e">
        <f>N12+N15</f>
        <v>#N/A</v>
      </c>
      <c r="O9" s="323" t="e">
        <f>'Расчет базового уровня'!S9</f>
        <v>#N/A</v>
      </c>
      <c r="P9" s="323" t="e">
        <f>P12+P15</f>
        <v>#N/A</v>
      </c>
      <c r="Q9" s="323" t="e">
        <f>'Расчет базового уровня'!V9</f>
        <v>#N/A</v>
      </c>
      <c r="R9" s="323" t="e">
        <f>R12+R15</f>
        <v>#N/A</v>
      </c>
      <c r="S9" s="323" t="e">
        <f>'Расчет базового уровня'!Y9</f>
        <v>#N/A</v>
      </c>
      <c r="T9" s="323" t="e">
        <f>T12+T15</f>
        <v>#N/A</v>
      </c>
      <c r="U9" s="323" t="e">
        <f>'Расчет базового уровня'!AB9</f>
        <v>#N/A</v>
      </c>
      <c r="V9" s="323" t="e">
        <f>V12+V15</f>
        <v>#N/A</v>
      </c>
      <c r="W9" s="323" t="e">
        <f>'Расчет базового уровня'!AE9</f>
        <v>#N/A</v>
      </c>
      <c r="X9" s="323" t="e">
        <f>X12+X15</f>
        <v>#N/A</v>
      </c>
      <c r="Y9" s="323" t="e">
        <f>'Расчет базового уровня'!AH9</f>
        <v>#N/A</v>
      </c>
      <c r="Z9" s="323" t="e">
        <f>Z12+Z15</f>
        <v>#N/A</v>
      </c>
      <c r="AA9" s="323" t="e">
        <f>'Расчет базового уровня'!AK9</f>
        <v>#N/A</v>
      </c>
      <c r="AB9" s="323" t="e">
        <f>AB12+AB15</f>
        <v>#N/A</v>
      </c>
      <c r="AC9" s="323" t="e">
        <f>'Расчет базового уровня'!AN9</f>
        <v>#N/A</v>
      </c>
      <c r="AD9" s="323" t="e">
        <f>AD12+AD15</f>
        <v>#N/A</v>
      </c>
      <c r="AE9" s="323" t="e">
        <f>'Расчет базового уровня'!AQ9</f>
        <v>#N/A</v>
      </c>
      <c r="AF9" s="323" t="e">
        <f>AF12+AF15</f>
        <v>#N/A</v>
      </c>
      <c r="AG9" s="87"/>
      <c r="AH9" s="87"/>
      <c r="AI9" s="87"/>
      <c r="AJ9" s="87"/>
      <c r="AK9" s="87"/>
      <c r="AL9" s="87"/>
      <c r="AM9" s="87"/>
      <c r="AN9" s="87"/>
      <c r="AO9" s="87"/>
      <c r="AP9" s="87"/>
      <c r="AQ9" s="87"/>
      <c r="AR9" s="87"/>
      <c r="AS9" s="87"/>
      <c r="AT9" s="87"/>
      <c r="AU9" s="87"/>
    </row>
    <row r="10" spans="1:47" ht="16.5" customHeight="1" x14ac:dyDescent="0.25">
      <c r="A10" s="324" t="s">
        <v>1347</v>
      </c>
      <c r="B10" s="321" t="s">
        <v>842</v>
      </c>
      <c r="C10" s="325"/>
      <c r="D10" s="325" t="e">
        <f>C9-D9</f>
        <v>#N/A</v>
      </c>
      <c r="E10" s="87"/>
      <c r="F10" s="87"/>
      <c r="G10" s="324" t="s">
        <v>1347</v>
      </c>
      <c r="H10" s="321" t="s">
        <v>842</v>
      </c>
      <c r="I10" s="325"/>
      <c r="J10" s="325" t="e">
        <f>I9-J9</f>
        <v>#N/A</v>
      </c>
      <c r="K10" s="325"/>
      <c r="L10" s="325" t="e">
        <f>K9-L9</f>
        <v>#N/A</v>
      </c>
      <c r="M10" s="325"/>
      <c r="N10" s="325" t="e">
        <f>M9-N9</f>
        <v>#N/A</v>
      </c>
      <c r="O10" s="325"/>
      <c r="P10" s="325" t="e">
        <f>O9-P9</f>
        <v>#N/A</v>
      </c>
      <c r="Q10" s="325"/>
      <c r="R10" s="325" t="e">
        <f>Q9-R9</f>
        <v>#N/A</v>
      </c>
      <c r="S10" s="325"/>
      <c r="T10" s="325" t="e">
        <f>S9-T9</f>
        <v>#N/A</v>
      </c>
      <c r="U10" s="325"/>
      <c r="V10" s="325" t="e">
        <f>U9-V9</f>
        <v>#N/A</v>
      </c>
      <c r="W10" s="325"/>
      <c r="X10" s="325" t="e">
        <f>W9-X9</f>
        <v>#N/A</v>
      </c>
      <c r="Y10" s="325"/>
      <c r="Z10" s="325" t="e">
        <f>Y9-Z9</f>
        <v>#N/A</v>
      </c>
      <c r="AA10" s="325"/>
      <c r="AB10" s="325" t="e">
        <f>AA9-AB9</f>
        <v>#N/A</v>
      </c>
      <c r="AC10" s="325"/>
      <c r="AD10" s="325" t="e">
        <f>AC9-AD9</f>
        <v>#N/A</v>
      </c>
      <c r="AE10" s="325"/>
      <c r="AF10" s="325" t="e">
        <f>AE9-AF9</f>
        <v>#N/A</v>
      </c>
      <c r="AG10" s="87"/>
      <c r="AH10" s="87"/>
      <c r="AI10" s="87"/>
      <c r="AJ10" s="87"/>
      <c r="AK10" s="87"/>
      <c r="AL10" s="87"/>
      <c r="AM10" s="87"/>
      <c r="AN10" s="87"/>
      <c r="AO10" s="87"/>
      <c r="AP10" s="87"/>
      <c r="AQ10" s="87"/>
      <c r="AR10" s="87"/>
      <c r="AS10" s="87"/>
      <c r="AT10" s="87"/>
      <c r="AU10" s="87"/>
    </row>
    <row r="11" spans="1:47" ht="15.75" customHeight="1" x14ac:dyDescent="0.25">
      <c r="A11" s="324" t="s">
        <v>874</v>
      </c>
      <c r="B11" s="326" t="s">
        <v>1181</v>
      </c>
      <c r="C11" s="327"/>
      <c r="D11" s="327" t="e">
        <f>D10/C9</f>
        <v>#N/A</v>
      </c>
      <c r="E11" s="87"/>
      <c r="F11" s="87"/>
      <c r="G11" s="324" t="s">
        <v>874</v>
      </c>
      <c r="H11" s="326" t="s">
        <v>1181</v>
      </c>
      <c r="I11" s="327"/>
      <c r="J11" s="327" t="e">
        <f>IF(I9=0,0,J10/I9)</f>
        <v>#N/A</v>
      </c>
      <c r="K11" s="327"/>
      <c r="L11" s="327" t="e">
        <f>IF(K9=0,0,L10/K9)</f>
        <v>#N/A</v>
      </c>
      <c r="M11" s="327"/>
      <c r="N11" s="327" t="e">
        <f>IF(M9=0,0,N10/M9)</f>
        <v>#N/A</v>
      </c>
      <c r="O11" s="327"/>
      <c r="P11" s="327" t="e">
        <f>IF(O9=0,0,P10/O9)</f>
        <v>#N/A</v>
      </c>
      <c r="Q11" s="327"/>
      <c r="R11" s="327" t="e">
        <f>IF(Q9=0,0,R10/Q9)</f>
        <v>#N/A</v>
      </c>
      <c r="S11" s="327"/>
      <c r="T11" s="327" t="e">
        <f>IF(S9=0,0,T10/S9)</f>
        <v>#N/A</v>
      </c>
      <c r="U11" s="327"/>
      <c r="V11" s="327" t="e">
        <f>IF(U9=0,0,V10/U9)</f>
        <v>#N/A</v>
      </c>
      <c r="W11" s="327"/>
      <c r="X11" s="327" t="e">
        <f>IF(W9=0,0,X10/W9)</f>
        <v>#N/A</v>
      </c>
      <c r="Y11" s="327"/>
      <c r="Z11" s="327" t="e">
        <f>IF(Y9=0,0,Z10/Y9)</f>
        <v>#N/A</v>
      </c>
      <c r="AA11" s="327"/>
      <c r="AB11" s="327" t="e">
        <f>IF(AA9=0,0,AB10/AA9)</f>
        <v>#N/A</v>
      </c>
      <c r="AC11" s="327"/>
      <c r="AD11" s="327" t="e">
        <f>IF(AC9=0,0,AD10/AC9)</f>
        <v>#N/A</v>
      </c>
      <c r="AE11" s="327"/>
      <c r="AF11" s="327" t="e">
        <f>IF(AE9=0,0,AF10/AE9)</f>
        <v>#N/A</v>
      </c>
      <c r="AG11" s="87"/>
      <c r="AH11" s="87"/>
      <c r="AI11" s="87"/>
      <c r="AJ11" s="87"/>
      <c r="AK11" s="87"/>
      <c r="AL11" s="87"/>
      <c r="AM11" s="87"/>
      <c r="AN11" s="87"/>
      <c r="AO11" s="87"/>
      <c r="AP11" s="87"/>
      <c r="AQ11" s="87"/>
      <c r="AR11" s="87"/>
      <c r="AS11" s="87"/>
      <c r="AT11" s="87"/>
      <c r="AU11" s="87"/>
    </row>
    <row r="12" spans="1:47" ht="20.25" customHeight="1" x14ac:dyDescent="0.25">
      <c r="A12" s="329" t="s">
        <v>1185</v>
      </c>
      <c r="B12" s="321" t="s">
        <v>842</v>
      </c>
      <c r="C12" s="322">
        <f>'Расчет базового уровня'!D12</f>
        <v>0</v>
      </c>
      <c r="D12" s="322" t="e">
        <f>D35</f>
        <v>#N/A</v>
      </c>
      <c r="E12" s="87"/>
      <c r="F12" s="87"/>
      <c r="G12" s="329" t="s">
        <v>1185</v>
      </c>
      <c r="H12" s="321" t="s">
        <v>842</v>
      </c>
      <c r="I12" s="323" t="e">
        <f>'Расчет базового уровня'!J12</f>
        <v>#N/A</v>
      </c>
      <c r="J12" s="323" t="e">
        <f>J35</f>
        <v>#N/A</v>
      </c>
      <c r="K12" s="323" t="e">
        <f>'Расчет базового уровня'!M12</f>
        <v>#N/A</v>
      </c>
      <c r="L12" s="323" t="e">
        <f>L35</f>
        <v>#N/A</v>
      </c>
      <c r="M12" s="323" t="e">
        <f>'Расчет базового уровня'!P12</f>
        <v>#N/A</v>
      </c>
      <c r="N12" s="323" t="e">
        <f>N35</f>
        <v>#N/A</v>
      </c>
      <c r="O12" s="323" t="e">
        <f>'Расчет базового уровня'!S12</f>
        <v>#N/A</v>
      </c>
      <c r="P12" s="323" t="e">
        <f>P35</f>
        <v>#N/A</v>
      </c>
      <c r="Q12" s="323" t="e">
        <f>'Расчет базового уровня'!V12</f>
        <v>#N/A</v>
      </c>
      <c r="R12" s="323" t="e">
        <f>R35</f>
        <v>#N/A</v>
      </c>
      <c r="S12" s="323" t="e">
        <f>'Расчет базового уровня'!Y12</f>
        <v>#N/A</v>
      </c>
      <c r="T12" s="323" t="e">
        <f>T35</f>
        <v>#N/A</v>
      </c>
      <c r="U12" s="323" t="e">
        <f>'Расчет базового уровня'!AB12</f>
        <v>#N/A</v>
      </c>
      <c r="V12" s="323" t="e">
        <f>V35</f>
        <v>#N/A</v>
      </c>
      <c r="W12" s="323" t="e">
        <f>'Расчет базового уровня'!AE12</f>
        <v>#N/A</v>
      </c>
      <c r="X12" s="323" t="e">
        <f>X35</f>
        <v>#N/A</v>
      </c>
      <c r="Y12" s="323" t="e">
        <f>'Расчет базового уровня'!AH12</f>
        <v>#N/A</v>
      </c>
      <c r="Z12" s="323" t="e">
        <f>Z35</f>
        <v>#N/A</v>
      </c>
      <c r="AA12" s="323" t="e">
        <f>'Расчет базового уровня'!AK12</f>
        <v>#N/A</v>
      </c>
      <c r="AB12" s="323" t="e">
        <f>AB35</f>
        <v>#N/A</v>
      </c>
      <c r="AC12" s="323" t="e">
        <f>'Расчет базового уровня'!AN12</f>
        <v>#N/A</v>
      </c>
      <c r="AD12" s="323" t="e">
        <f>AD35</f>
        <v>#N/A</v>
      </c>
      <c r="AE12" s="323" t="e">
        <f>'Расчет базового уровня'!AQ12</f>
        <v>#N/A</v>
      </c>
      <c r="AF12" s="323" t="e">
        <f>AF35</f>
        <v>#N/A</v>
      </c>
      <c r="AG12" s="87"/>
      <c r="AH12" s="87"/>
      <c r="AI12" s="87"/>
      <c r="AJ12" s="87"/>
      <c r="AK12" s="87"/>
      <c r="AL12" s="87"/>
      <c r="AM12" s="87"/>
      <c r="AN12" s="87"/>
      <c r="AO12" s="87"/>
      <c r="AP12" s="87"/>
      <c r="AQ12" s="87"/>
      <c r="AR12" s="87"/>
      <c r="AS12" s="87"/>
      <c r="AT12" s="87"/>
      <c r="AU12" s="87"/>
    </row>
    <row r="13" spans="1:47" x14ac:dyDescent="0.25">
      <c r="A13" s="324" t="s">
        <v>1347</v>
      </c>
      <c r="B13" s="321" t="s">
        <v>842</v>
      </c>
      <c r="C13" s="325"/>
      <c r="D13" s="325" t="e">
        <f>C12-D12</f>
        <v>#N/A</v>
      </c>
      <c r="E13" s="87"/>
      <c r="F13" s="87"/>
      <c r="G13" s="324" t="s">
        <v>1347</v>
      </c>
      <c r="H13" s="321" t="s">
        <v>842</v>
      </c>
      <c r="I13" s="325"/>
      <c r="J13" s="325" t="e">
        <f>I12-J12</f>
        <v>#N/A</v>
      </c>
      <c r="K13" s="325"/>
      <c r="L13" s="325" t="e">
        <f>K12-L12</f>
        <v>#N/A</v>
      </c>
      <c r="M13" s="325"/>
      <c r="N13" s="325" t="e">
        <f>M12-N12</f>
        <v>#N/A</v>
      </c>
      <c r="O13" s="325"/>
      <c r="P13" s="325" t="e">
        <f>O12-P12</f>
        <v>#N/A</v>
      </c>
      <c r="Q13" s="325"/>
      <c r="R13" s="325" t="e">
        <f>Q12-R12</f>
        <v>#N/A</v>
      </c>
      <c r="S13" s="325"/>
      <c r="T13" s="325" t="e">
        <f>S12-T12</f>
        <v>#N/A</v>
      </c>
      <c r="U13" s="325"/>
      <c r="V13" s="325" t="e">
        <f>U12-V12</f>
        <v>#N/A</v>
      </c>
      <c r="W13" s="325"/>
      <c r="X13" s="325" t="e">
        <f>W12-X12</f>
        <v>#N/A</v>
      </c>
      <c r="Y13" s="325"/>
      <c r="Z13" s="325" t="e">
        <f>Y12-Z12</f>
        <v>#N/A</v>
      </c>
      <c r="AA13" s="325"/>
      <c r="AB13" s="325" t="e">
        <f>AA12-AB12</f>
        <v>#N/A</v>
      </c>
      <c r="AC13" s="325"/>
      <c r="AD13" s="325" t="e">
        <f>AC12-AD12</f>
        <v>#N/A</v>
      </c>
      <c r="AE13" s="325"/>
      <c r="AF13" s="325" t="e">
        <f>AE12-AF12</f>
        <v>#N/A</v>
      </c>
      <c r="AG13" s="87"/>
      <c r="AH13" s="87"/>
      <c r="AI13" s="87"/>
      <c r="AJ13" s="87"/>
      <c r="AK13" s="87"/>
      <c r="AL13" s="87"/>
      <c r="AM13" s="87"/>
      <c r="AN13" s="87"/>
      <c r="AO13" s="87"/>
      <c r="AP13" s="87"/>
      <c r="AQ13" s="87"/>
      <c r="AR13" s="87"/>
      <c r="AS13" s="87"/>
      <c r="AT13" s="87"/>
      <c r="AU13" s="87"/>
    </row>
    <row r="14" spans="1:47" x14ac:dyDescent="0.25">
      <c r="A14" s="324" t="s">
        <v>874</v>
      </c>
      <c r="B14" s="326" t="s">
        <v>1181</v>
      </c>
      <c r="C14" s="327"/>
      <c r="D14" s="327" t="e">
        <f>D13/C12</f>
        <v>#N/A</v>
      </c>
      <c r="E14" s="87"/>
      <c r="F14" s="87"/>
      <c r="G14" s="324" t="s">
        <v>874</v>
      </c>
      <c r="H14" s="326" t="s">
        <v>1181</v>
      </c>
      <c r="I14" s="327"/>
      <c r="J14" s="327" t="e">
        <f>IF(I12=0,0,J13/I12)</f>
        <v>#N/A</v>
      </c>
      <c r="K14" s="327"/>
      <c r="L14" s="327" t="e">
        <f>IF(K12=0,0,L13/K12)</f>
        <v>#N/A</v>
      </c>
      <c r="M14" s="327"/>
      <c r="N14" s="327" t="e">
        <f>IF(M12=0,0,N13/M12)</f>
        <v>#N/A</v>
      </c>
      <c r="O14" s="327"/>
      <c r="P14" s="327" t="e">
        <f>IF(O12=0,0,P13/O12)</f>
        <v>#N/A</v>
      </c>
      <c r="Q14" s="327"/>
      <c r="R14" s="327" t="e">
        <f>IF(Q12=0,0,R13/Q12)</f>
        <v>#N/A</v>
      </c>
      <c r="S14" s="327"/>
      <c r="T14" s="327" t="e">
        <f>IF(S12=0,0,T13/S12)</f>
        <v>#N/A</v>
      </c>
      <c r="U14" s="327"/>
      <c r="V14" s="327" t="e">
        <f>IF(U12=0,0,V13/U12)</f>
        <v>#N/A</v>
      </c>
      <c r="W14" s="327"/>
      <c r="X14" s="327" t="e">
        <f>IF(W12=0,0,X13/W12)</f>
        <v>#N/A</v>
      </c>
      <c r="Y14" s="327"/>
      <c r="Z14" s="327" t="e">
        <f>IF(Y12=0,0,Z13/Y12)</f>
        <v>#N/A</v>
      </c>
      <c r="AA14" s="327"/>
      <c r="AB14" s="327" t="e">
        <f>IF(AA12=0,0,AB13/AA12)</f>
        <v>#N/A</v>
      </c>
      <c r="AC14" s="327"/>
      <c r="AD14" s="327" t="e">
        <f>IF(AC12=0,0,AD13/AC12)</f>
        <v>#N/A</v>
      </c>
      <c r="AE14" s="327"/>
      <c r="AF14" s="327" t="e">
        <f>IF(AE12=0,0,AF13/AE12)</f>
        <v>#N/A</v>
      </c>
      <c r="AG14" s="87"/>
      <c r="AH14" s="87"/>
      <c r="AI14" s="87"/>
      <c r="AJ14" s="87"/>
      <c r="AK14" s="87"/>
      <c r="AL14" s="87"/>
      <c r="AM14" s="87"/>
      <c r="AN14" s="87"/>
      <c r="AO14" s="87"/>
      <c r="AP14" s="87"/>
      <c r="AQ14" s="87"/>
      <c r="AR14" s="87"/>
      <c r="AS14" s="87"/>
      <c r="AT14" s="87"/>
      <c r="AU14" s="87"/>
    </row>
    <row r="15" spans="1:47" ht="16.5" customHeight="1" x14ac:dyDescent="0.25">
      <c r="A15" s="329" t="s">
        <v>999</v>
      </c>
      <c r="B15" s="321" t="s">
        <v>842</v>
      </c>
      <c r="C15" s="322">
        <f>'Расчет базового уровня'!D15</f>
        <v>0</v>
      </c>
      <c r="D15" s="323" t="e">
        <f>D85</f>
        <v>#DIV/0!</v>
      </c>
      <c r="E15" s="87"/>
      <c r="F15" s="87"/>
      <c r="G15" s="329" t="s">
        <v>999</v>
      </c>
      <c r="H15" s="321" t="s">
        <v>842</v>
      </c>
      <c r="I15" s="323" t="e">
        <f>'Расчет базового уровня'!J15</f>
        <v>#N/A</v>
      </c>
      <c r="J15" s="323" t="e">
        <f>J85</f>
        <v>#N/A</v>
      </c>
      <c r="K15" s="323" t="e">
        <f>'Расчет базового уровня'!M15</f>
        <v>#N/A</v>
      </c>
      <c r="L15" s="323" t="e">
        <f>L85</f>
        <v>#N/A</v>
      </c>
      <c r="M15" s="323" t="e">
        <f>'Расчет базового уровня'!P15</f>
        <v>#N/A</v>
      </c>
      <c r="N15" s="323" t="e">
        <f>N85</f>
        <v>#N/A</v>
      </c>
      <c r="O15" s="323" t="e">
        <f>'Расчет базового уровня'!S15</f>
        <v>#N/A</v>
      </c>
      <c r="P15" s="323" t="e">
        <f>P85</f>
        <v>#N/A</v>
      </c>
      <c r="Q15" s="323" t="e">
        <f>'Расчет базового уровня'!V15</f>
        <v>#N/A</v>
      </c>
      <c r="R15" s="323" t="e">
        <f>R85</f>
        <v>#N/A</v>
      </c>
      <c r="S15" s="323" t="e">
        <f>'Расчет базового уровня'!Y15</f>
        <v>#N/A</v>
      </c>
      <c r="T15" s="323" t="e">
        <f>T85</f>
        <v>#N/A</v>
      </c>
      <c r="U15" s="323" t="e">
        <f>'Расчет базового уровня'!AB15</f>
        <v>#N/A</v>
      </c>
      <c r="V15" s="323" t="e">
        <f>V85</f>
        <v>#N/A</v>
      </c>
      <c r="W15" s="323" t="e">
        <f>'Расчет базового уровня'!AE15</f>
        <v>#N/A</v>
      </c>
      <c r="X15" s="323" t="e">
        <f>X85</f>
        <v>#N/A</v>
      </c>
      <c r="Y15" s="323" t="e">
        <f>'Расчет базового уровня'!AH15</f>
        <v>#N/A</v>
      </c>
      <c r="Z15" s="323" t="e">
        <f>Z85</f>
        <v>#N/A</v>
      </c>
      <c r="AA15" s="323" t="e">
        <f>'Расчет базового уровня'!AK15</f>
        <v>#N/A</v>
      </c>
      <c r="AB15" s="323" t="e">
        <f>AB85</f>
        <v>#N/A</v>
      </c>
      <c r="AC15" s="323" t="e">
        <f>'Расчет базового уровня'!AN15</f>
        <v>#N/A</v>
      </c>
      <c r="AD15" s="323" t="e">
        <f>AD85</f>
        <v>#N/A</v>
      </c>
      <c r="AE15" s="323" t="e">
        <f>'Расчет базового уровня'!AQ15</f>
        <v>#N/A</v>
      </c>
      <c r="AF15" s="323" t="e">
        <f>AF85</f>
        <v>#N/A</v>
      </c>
      <c r="AG15" s="87"/>
      <c r="AH15" s="87"/>
      <c r="AI15" s="87"/>
      <c r="AJ15" s="87"/>
      <c r="AK15" s="87"/>
      <c r="AL15" s="87"/>
      <c r="AM15" s="87"/>
      <c r="AN15" s="87"/>
      <c r="AO15" s="87"/>
      <c r="AP15" s="87"/>
      <c r="AQ15" s="87"/>
      <c r="AR15" s="87"/>
      <c r="AS15" s="87"/>
      <c r="AT15" s="87"/>
      <c r="AU15" s="87"/>
    </row>
    <row r="16" spans="1:47" x14ac:dyDescent="0.25">
      <c r="A16" s="324" t="s">
        <v>1347</v>
      </c>
      <c r="B16" s="321" t="s">
        <v>842</v>
      </c>
      <c r="C16" s="325"/>
      <c r="D16" s="325" t="e">
        <f>C15-D15</f>
        <v>#DIV/0!</v>
      </c>
      <c r="E16" s="87"/>
      <c r="F16" s="87"/>
      <c r="G16" s="324" t="s">
        <v>1347</v>
      </c>
      <c r="H16" s="321" t="s">
        <v>842</v>
      </c>
      <c r="I16" s="325"/>
      <c r="J16" s="325" t="e">
        <f>I15-J15</f>
        <v>#N/A</v>
      </c>
      <c r="K16" s="325"/>
      <c r="L16" s="325" t="e">
        <f>K15-L15</f>
        <v>#N/A</v>
      </c>
      <c r="M16" s="325"/>
      <c r="N16" s="325" t="e">
        <f>M15-N15</f>
        <v>#N/A</v>
      </c>
      <c r="O16" s="325"/>
      <c r="P16" s="325" t="e">
        <f>O15-P15</f>
        <v>#N/A</v>
      </c>
      <c r="Q16" s="325"/>
      <c r="R16" s="325" t="e">
        <f>Q15-R15</f>
        <v>#N/A</v>
      </c>
      <c r="S16" s="325"/>
      <c r="T16" s="325" t="e">
        <f>S15-T15</f>
        <v>#N/A</v>
      </c>
      <c r="U16" s="325"/>
      <c r="V16" s="325" t="e">
        <f>U15-V15</f>
        <v>#N/A</v>
      </c>
      <c r="W16" s="325"/>
      <c r="X16" s="325" t="e">
        <f>W15-X15</f>
        <v>#N/A</v>
      </c>
      <c r="Y16" s="325"/>
      <c r="Z16" s="325" t="e">
        <f>Y15-Z15</f>
        <v>#N/A</v>
      </c>
      <c r="AA16" s="325"/>
      <c r="AB16" s="325" t="e">
        <f>AA15-AB15</f>
        <v>#N/A</v>
      </c>
      <c r="AC16" s="325"/>
      <c r="AD16" s="325" t="e">
        <f>AC15-AD15</f>
        <v>#N/A</v>
      </c>
      <c r="AE16" s="325"/>
      <c r="AF16" s="325" t="e">
        <f>AE15-AF15</f>
        <v>#N/A</v>
      </c>
      <c r="AG16" s="87"/>
      <c r="AH16" s="87"/>
      <c r="AI16" s="87"/>
      <c r="AJ16" s="87"/>
      <c r="AK16" s="87"/>
      <c r="AL16" s="87"/>
      <c r="AM16" s="87"/>
      <c r="AN16" s="87"/>
      <c r="AO16" s="87"/>
      <c r="AP16" s="87"/>
      <c r="AQ16" s="87"/>
      <c r="AR16" s="87"/>
      <c r="AS16" s="87"/>
      <c r="AT16" s="87"/>
      <c r="AU16" s="87"/>
    </row>
    <row r="17" spans="1:47" ht="14.25" customHeight="1" x14ac:dyDescent="0.25">
      <c r="A17" s="324" t="s">
        <v>874</v>
      </c>
      <c r="B17" s="326" t="s">
        <v>1181</v>
      </c>
      <c r="C17" s="327"/>
      <c r="D17" s="327" t="e">
        <f>D16/C15</f>
        <v>#DIV/0!</v>
      </c>
      <c r="E17" s="87"/>
      <c r="F17" s="87"/>
      <c r="G17" s="324" t="s">
        <v>874</v>
      </c>
      <c r="H17" s="326" t="s">
        <v>1181</v>
      </c>
      <c r="I17" s="327"/>
      <c r="J17" s="327" t="e">
        <f>IF(I15=0,0,J16/I15)</f>
        <v>#N/A</v>
      </c>
      <c r="K17" s="327"/>
      <c r="L17" s="327" t="e">
        <f>IF(K15=0,0,L16/K15)</f>
        <v>#N/A</v>
      </c>
      <c r="M17" s="327"/>
      <c r="N17" s="327" t="e">
        <f>IF(M15=0,0,N16/M15)</f>
        <v>#N/A</v>
      </c>
      <c r="O17" s="327"/>
      <c r="P17" s="327" t="e">
        <f>IF(O15=0,0,P16/O15)</f>
        <v>#N/A</v>
      </c>
      <c r="Q17" s="327"/>
      <c r="R17" s="327" t="e">
        <f>IF(Q15=0,0,R16/Q15)</f>
        <v>#N/A</v>
      </c>
      <c r="S17" s="327"/>
      <c r="T17" s="327" t="e">
        <f>IF(S15=0,0,T16/S15)</f>
        <v>#N/A</v>
      </c>
      <c r="U17" s="327"/>
      <c r="V17" s="327" t="e">
        <f>IF(U15=0,0,V16/U15)</f>
        <v>#N/A</v>
      </c>
      <c r="W17" s="327"/>
      <c r="X17" s="327" t="e">
        <f>IF(W15=0,0,X16/W15)</f>
        <v>#N/A</v>
      </c>
      <c r="Y17" s="327"/>
      <c r="Z17" s="327" t="e">
        <f>IF(Y15=0,0,Z16/Y15)</f>
        <v>#N/A</v>
      </c>
      <c r="AA17" s="327"/>
      <c r="AB17" s="327" t="e">
        <f>IF(AA15=0,0,AB16/AA15)</f>
        <v>#N/A</v>
      </c>
      <c r="AC17" s="327"/>
      <c r="AD17" s="327" t="e">
        <f>IF(AC15=0,0,AD16/AC15)</f>
        <v>#N/A</v>
      </c>
      <c r="AE17" s="327"/>
      <c r="AF17" s="327" t="e">
        <f>IF(AE15=0,0,AF16/AE15)</f>
        <v>#N/A</v>
      </c>
      <c r="AG17" s="87"/>
      <c r="AH17" s="87"/>
      <c r="AI17" s="87"/>
      <c r="AJ17" s="87"/>
      <c r="AK17" s="87"/>
      <c r="AL17" s="87"/>
      <c r="AM17" s="87"/>
      <c r="AN17" s="87"/>
      <c r="AO17" s="87"/>
      <c r="AP17" s="87"/>
      <c r="AQ17" s="87"/>
      <c r="AR17" s="87"/>
      <c r="AS17" s="87"/>
      <c r="AT17" s="87"/>
      <c r="AU17" s="87"/>
    </row>
    <row r="18" spans="1:47" ht="40.5" customHeight="1" x14ac:dyDescent="0.25">
      <c r="A18" s="320" t="s">
        <v>1188</v>
      </c>
      <c r="B18" s="321" t="s">
        <v>842</v>
      </c>
      <c r="C18" s="322">
        <f>'Расчет базового уровня'!D18</f>
        <v>0</v>
      </c>
      <c r="D18" s="322" t="e">
        <f>D100</f>
        <v>#N/A</v>
      </c>
      <c r="E18" s="87"/>
      <c r="F18" s="87"/>
      <c r="G18" s="320" t="s">
        <v>1188</v>
      </c>
      <c r="H18" s="321" t="s">
        <v>842</v>
      </c>
      <c r="I18" s="323">
        <f>'Расчет базового уровня'!J18</f>
        <v>0</v>
      </c>
      <c r="J18" s="323" t="e">
        <f>J100</f>
        <v>#N/A</v>
      </c>
      <c r="K18" s="323">
        <f>'Расчет базового уровня'!M18</f>
        <v>0</v>
      </c>
      <c r="L18" s="323" t="e">
        <f>L100</f>
        <v>#N/A</v>
      </c>
      <c r="M18" s="323">
        <f>'Расчет базового уровня'!P18</f>
        <v>0</v>
      </c>
      <c r="N18" s="323" t="e">
        <f>N100</f>
        <v>#N/A</v>
      </c>
      <c r="O18" s="323">
        <f>'Расчет базового уровня'!S18</f>
        <v>0</v>
      </c>
      <c r="P18" s="323" t="e">
        <f>P100</f>
        <v>#N/A</v>
      </c>
      <c r="Q18" s="323">
        <f>'Расчет базового уровня'!V18</f>
        <v>0</v>
      </c>
      <c r="R18" s="323" t="e">
        <f>R100</f>
        <v>#N/A</v>
      </c>
      <c r="S18" s="323">
        <f>'Расчет базового уровня'!Y18</f>
        <v>0</v>
      </c>
      <c r="T18" s="323" t="e">
        <f>T100</f>
        <v>#N/A</v>
      </c>
      <c r="U18" s="323">
        <f>'Расчет базового уровня'!AB18</f>
        <v>0</v>
      </c>
      <c r="V18" s="323" t="e">
        <f>V100</f>
        <v>#N/A</v>
      </c>
      <c r="W18" s="323">
        <f>'Расчет базового уровня'!AE18</f>
        <v>0</v>
      </c>
      <c r="X18" s="323" t="e">
        <f>X100</f>
        <v>#N/A</v>
      </c>
      <c r="Y18" s="323">
        <f>'Расчет базового уровня'!AH18</f>
        <v>0</v>
      </c>
      <c r="Z18" s="323" t="e">
        <f>Z100</f>
        <v>#N/A</v>
      </c>
      <c r="AA18" s="323">
        <f>'Расчет базового уровня'!AK18</f>
        <v>0</v>
      </c>
      <c r="AB18" s="323" t="e">
        <f>AB100</f>
        <v>#N/A</v>
      </c>
      <c r="AC18" s="323">
        <f>'Расчет базового уровня'!AN18</f>
        <v>0</v>
      </c>
      <c r="AD18" s="323" t="e">
        <f>AD100</f>
        <v>#N/A</v>
      </c>
      <c r="AE18" s="323">
        <f>'Расчет базового уровня'!AQ18</f>
        <v>0</v>
      </c>
      <c r="AF18" s="323" t="e">
        <f>AF100</f>
        <v>#N/A</v>
      </c>
      <c r="AG18" s="87"/>
      <c r="AH18" s="87"/>
      <c r="AI18" s="87"/>
      <c r="AJ18" s="87"/>
      <c r="AK18" s="87"/>
      <c r="AL18" s="87"/>
      <c r="AM18" s="87"/>
      <c r="AN18" s="87"/>
      <c r="AO18" s="87"/>
      <c r="AP18" s="87"/>
      <c r="AQ18" s="87"/>
      <c r="AR18" s="87"/>
      <c r="AS18" s="87"/>
      <c r="AT18" s="87"/>
      <c r="AU18" s="87"/>
    </row>
    <row r="19" spans="1:47" ht="15.75" customHeight="1" x14ac:dyDescent="0.25">
      <c r="A19" s="324" t="s">
        <v>1347</v>
      </c>
      <c r="B19" s="321" t="s">
        <v>842</v>
      </c>
      <c r="C19" s="325"/>
      <c r="D19" s="325" t="e">
        <f>C18-D18</f>
        <v>#N/A</v>
      </c>
      <c r="E19" s="87"/>
      <c r="F19" s="87"/>
      <c r="G19" s="324" t="s">
        <v>1347</v>
      </c>
      <c r="H19" s="321" t="s">
        <v>842</v>
      </c>
      <c r="I19" s="325"/>
      <c r="J19" s="325" t="e">
        <f>I18-J18</f>
        <v>#N/A</v>
      </c>
      <c r="K19" s="325"/>
      <c r="L19" s="325" t="e">
        <f>K18-L18</f>
        <v>#N/A</v>
      </c>
      <c r="M19" s="325"/>
      <c r="N19" s="325" t="e">
        <f>M18-N18</f>
        <v>#N/A</v>
      </c>
      <c r="O19" s="325"/>
      <c r="P19" s="325" t="e">
        <f>O18-P18</f>
        <v>#N/A</v>
      </c>
      <c r="Q19" s="325"/>
      <c r="R19" s="325" t="e">
        <f>Q18-R18</f>
        <v>#N/A</v>
      </c>
      <c r="S19" s="325"/>
      <c r="T19" s="325" t="e">
        <f>S18-T18</f>
        <v>#N/A</v>
      </c>
      <c r="U19" s="325"/>
      <c r="V19" s="325" t="e">
        <f>U18-V18</f>
        <v>#N/A</v>
      </c>
      <c r="W19" s="325"/>
      <c r="X19" s="325" t="e">
        <f>W18-X18</f>
        <v>#N/A</v>
      </c>
      <c r="Y19" s="325"/>
      <c r="Z19" s="325" t="e">
        <f>Y18-Z18</f>
        <v>#N/A</v>
      </c>
      <c r="AA19" s="325"/>
      <c r="AB19" s="325" t="e">
        <f>AA18-AB18</f>
        <v>#N/A</v>
      </c>
      <c r="AC19" s="325"/>
      <c r="AD19" s="325" t="e">
        <f>AC18-AD18</f>
        <v>#N/A</v>
      </c>
      <c r="AE19" s="325"/>
      <c r="AF19" s="325" t="e">
        <f>AE18-AF18</f>
        <v>#N/A</v>
      </c>
      <c r="AG19" s="87"/>
      <c r="AH19" s="87"/>
      <c r="AI19" s="87"/>
      <c r="AJ19" s="87"/>
      <c r="AK19" s="87"/>
      <c r="AL19" s="87"/>
      <c r="AM19" s="87"/>
      <c r="AN19" s="87"/>
      <c r="AO19" s="87"/>
      <c r="AP19" s="87"/>
      <c r="AQ19" s="87"/>
      <c r="AR19" s="87"/>
      <c r="AS19" s="87"/>
      <c r="AT19" s="87"/>
      <c r="AU19" s="87"/>
    </row>
    <row r="20" spans="1:47" ht="15" customHeight="1" x14ac:dyDescent="0.25">
      <c r="A20" s="324" t="s">
        <v>874</v>
      </c>
      <c r="B20" s="326" t="s">
        <v>1181</v>
      </c>
      <c r="C20" s="327"/>
      <c r="D20" s="327" t="e">
        <f>D19/C18</f>
        <v>#N/A</v>
      </c>
      <c r="E20" s="87"/>
      <c r="F20" s="87"/>
      <c r="G20" s="324" t="s">
        <v>874</v>
      </c>
      <c r="H20" s="326" t="s">
        <v>1181</v>
      </c>
      <c r="I20" s="327"/>
      <c r="J20" s="327">
        <f>IF(I18=0,0,J19/I18)</f>
        <v>0</v>
      </c>
      <c r="K20" s="327"/>
      <c r="L20" s="327">
        <f>IF(K18=0,0,L19/K18)</f>
        <v>0</v>
      </c>
      <c r="M20" s="327"/>
      <c r="N20" s="327">
        <f>IF(M18=0,0,N19/M18)</f>
        <v>0</v>
      </c>
      <c r="O20" s="327"/>
      <c r="P20" s="327">
        <f>IF(O18=0,0,P19/O18)</f>
        <v>0</v>
      </c>
      <c r="Q20" s="327"/>
      <c r="R20" s="327">
        <f>IF(Q18=0,0,R19/Q18)</f>
        <v>0</v>
      </c>
      <c r="S20" s="327"/>
      <c r="T20" s="327">
        <f>IF(S18=0,0,T19/S18)</f>
        <v>0</v>
      </c>
      <c r="U20" s="327"/>
      <c r="V20" s="327">
        <f>IF(U18=0,0,V19/U18)</f>
        <v>0</v>
      </c>
      <c r="W20" s="327"/>
      <c r="X20" s="327">
        <f>IF(W18=0,0,X19/W18)</f>
        <v>0</v>
      </c>
      <c r="Y20" s="327"/>
      <c r="Z20" s="327">
        <f>IF(Y18=0,0,Z19/Y18)</f>
        <v>0</v>
      </c>
      <c r="AA20" s="327"/>
      <c r="AB20" s="327">
        <f>IF(AA18=0,0,AB19/AA18)</f>
        <v>0</v>
      </c>
      <c r="AC20" s="327"/>
      <c r="AD20" s="327">
        <f>IF(AC18=0,0,AD19/AC18)</f>
        <v>0</v>
      </c>
      <c r="AE20" s="327"/>
      <c r="AF20" s="327">
        <f>IF(AE18=0,0,AF19/AE18)</f>
        <v>0</v>
      </c>
      <c r="AG20" s="87"/>
      <c r="AH20" s="87"/>
      <c r="AI20" s="87"/>
      <c r="AJ20" s="87"/>
      <c r="AK20" s="87"/>
      <c r="AL20" s="87"/>
      <c r="AM20" s="87"/>
      <c r="AN20" s="87"/>
      <c r="AO20" s="87"/>
      <c r="AP20" s="87"/>
      <c r="AQ20" s="87"/>
      <c r="AR20" s="87"/>
      <c r="AS20" s="87"/>
      <c r="AT20" s="87"/>
      <c r="AU20" s="87"/>
    </row>
    <row r="21" spans="1:47" ht="5.25" customHeight="1" x14ac:dyDescent="0.25">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25">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25">
      <c r="A23" s="332" t="s">
        <v>1189</v>
      </c>
      <c r="B23" s="321" t="s">
        <v>1190</v>
      </c>
      <c r="C23" s="322" t="e">
        <f>'Расчет базового уровня'!D23</f>
        <v>#DIV/0!</v>
      </c>
      <c r="D23" s="322" t="e">
        <f>D6/('Ввод исходных данных'!$G$44+'Ввод исходных данных'!$D$22)</f>
        <v>#N/A</v>
      </c>
      <c r="E23" s="87"/>
      <c r="F23" s="87"/>
      <c r="G23" s="332" t="s">
        <v>1189</v>
      </c>
      <c r="H23" s="321" t="s">
        <v>1190</v>
      </c>
      <c r="I23" s="323">
        <f>'Расчет базового уровня'!J23</f>
        <v>0</v>
      </c>
      <c r="J23" s="323" t="e">
        <f>J6/'Ввод исходных данных'!$G$43</f>
        <v>#N/A</v>
      </c>
      <c r="K23" s="323">
        <f>'Расчет базового уровня'!M23</f>
        <v>0</v>
      </c>
      <c r="L23" s="323" t="e">
        <f>L6/'Ввод исходных данных'!$G$43</f>
        <v>#N/A</v>
      </c>
      <c r="M23" s="323">
        <f>'Расчет базового уровня'!P23</f>
        <v>0</v>
      </c>
      <c r="N23" s="323" t="e">
        <f>N6/'Ввод исходных данных'!$G$43</f>
        <v>#N/A</v>
      </c>
      <c r="O23" s="323">
        <f>'Расчет базового уровня'!S23</f>
        <v>0</v>
      </c>
      <c r="P23" s="323" t="e">
        <f>P6/'Ввод исходных данных'!$G$43</f>
        <v>#N/A</v>
      </c>
      <c r="Q23" s="323">
        <f>'Расчет базового уровня'!V23</f>
        <v>0</v>
      </c>
      <c r="R23" s="323" t="e">
        <f>R6/'Ввод исходных данных'!$G$43</f>
        <v>#N/A</v>
      </c>
      <c r="S23" s="323">
        <f>'Расчет базового уровня'!Y23</f>
        <v>0</v>
      </c>
      <c r="T23" s="323" t="e">
        <f>T6/'Ввод исходных данных'!$G$43</f>
        <v>#N/A</v>
      </c>
      <c r="U23" s="323">
        <f>'Расчет базового уровня'!AB23</f>
        <v>0</v>
      </c>
      <c r="V23" s="323" t="e">
        <f>V6/'Ввод исходных данных'!$G$43</f>
        <v>#N/A</v>
      </c>
      <c r="W23" s="323">
        <f>'Расчет базового уровня'!AE23</f>
        <v>0</v>
      </c>
      <c r="X23" s="323" t="e">
        <f>X6/'Ввод исходных данных'!$G$43</f>
        <v>#N/A</v>
      </c>
      <c r="Y23" s="323">
        <f>'Расчет базового уровня'!AH23</f>
        <v>0</v>
      </c>
      <c r="Z23" s="323" t="e">
        <f>Z6/'Ввод исходных данных'!$G$43</f>
        <v>#N/A</v>
      </c>
      <c r="AA23" s="323">
        <f>'Расчет базового уровня'!AK23</f>
        <v>0</v>
      </c>
      <c r="AB23" s="323" t="e">
        <f>AB6/'Ввод исходных данных'!$G$43</f>
        <v>#N/A</v>
      </c>
      <c r="AC23" s="323">
        <f>'Расчет базового уровня'!AN23</f>
        <v>0</v>
      </c>
      <c r="AD23" s="323" t="e">
        <f>AD6/'Ввод исходных данных'!$G$43</f>
        <v>#N/A</v>
      </c>
      <c r="AE23" s="323">
        <f>'Расчет базового уровня'!AQ23</f>
        <v>0</v>
      </c>
      <c r="AF23" s="323" t="e">
        <f>AF6/'Ввод исходных данных'!$G$43</f>
        <v>#N/A</v>
      </c>
      <c r="AG23" s="87"/>
      <c r="AH23" s="87"/>
      <c r="AI23" s="87"/>
      <c r="AJ23" s="87"/>
      <c r="AK23" s="87"/>
      <c r="AL23" s="87"/>
      <c r="AM23" s="87"/>
      <c r="AN23" s="87"/>
      <c r="AO23" s="87"/>
      <c r="AP23" s="87"/>
      <c r="AQ23" s="87"/>
      <c r="AR23" s="87"/>
      <c r="AS23" s="87"/>
      <c r="AT23" s="87"/>
      <c r="AU23" s="87"/>
    </row>
    <row r="24" spans="1:47" x14ac:dyDescent="0.25">
      <c r="A24" s="324" t="s">
        <v>874</v>
      </c>
      <c r="B24" s="326" t="s">
        <v>1191</v>
      </c>
      <c r="C24" s="325"/>
      <c r="D24" s="333" t="e">
        <f>D7*1000/('Ввод исходных данных'!$G$44+'Ввод исходных данных'!$D$22)</f>
        <v>#N/A</v>
      </c>
      <c r="E24" s="87"/>
      <c r="F24" s="87"/>
      <c r="G24" s="324" t="s">
        <v>874</v>
      </c>
      <c r="H24" s="326" t="s">
        <v>1191</v>
      </c>
      <c r="I24" s="108"/>
      <c r="J24" s="299" t="e">
        <f>0.123*J23</f>
        <v>#N/A</v>
      </c>
      <c r="K24" s="108"/>
      <c r="L24" s="299" t="e">
        <f>0.123*L23</f>
        <v>#N/A</v>
      </c>
      <c r="M24" s="108"/>
      <c r="N24" s="299" t="e">
        <f>0.123*N23</f>
        <v>#N/A</v>
      </c>
      <c r="O24" s="108"/>
      <c r="P24" s="299" t="e">
        <f>0.123*P23</f>
        <v>#N/A</v>
      </c>
      <c r="Q24" s="108"/>
      <c r="R24" s="299" t="e">
        <f>0.123*R23</f>
        <v>#N/A</v>
      </c>
      <c r="S24" s="108"/>
      <c r="T24" s="299" t="e">
        <f>0.123*T23</f>
        <v>#N/A</v>
      </c>
      <c r="U24" s="108"/>
      <c r="V24" s="299" t="e">
        <f>0.123*V23</f>
        <v>#N/A</v>
      </c>
      <c r="W24" s="108"/>
      <c r="X24" s="299" t="e">
        <f>0.123*X23</f>
        <v>#N/A</v>
      </c>
      <c r="Y24" s="108"/>
      <c r="Z24" s="299" t="e">
        <f>0.123*Z23</f>
        <v>#N/A</v>
      </c>
      <c r="AA24" s="108"/>
      <c r="AB24" s="299" t="e">
        <f>0.123*AB23</f>
        <v>#N/A</v>
      </c>
      <c r="AC24" s="108"/>
      <c r="AD24" s="299" t="e">
        <f>0.123*AD23</f>
        <v>#N/A</v>
      </c>
      <c r="AE24" s="108"/>
      <c r="AF24" s="299" t="e">
        <f>0.123*AF23</f>
        <v>#N/A</v>
      </c>
      <c r="AG24" s="87"/>
      <c r="AH24" s="87"/>
      <c r="AI24" s="87"/>
      <c r="AJ24" s="87"/>
      <c r="AK24" s="87"/>
      <c r="AL24" s="87"/>
      <c r="AM24" s="87"/>
      <c r="AN24" s="87"/>
      <c r="AO24" s="87"/>
      <c r="AP24" s="87"/>
      <c r="AQ24" s="87"/>
      <c r="AR24" s="87"/>
      <c r="AS24" s="87"/>
      <c r="AT24" s="87"/>
      <c r="AU24" s="87"/>
    </row>
    <row r="25" spans="1:47" x14ac:dyDescent="0.2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25">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25">
      <c r="A27" s="87"/>
      <c r="B27" s="334" t="e">
        <f>D12</f>
        <v>#N/A</v>
      </c>
      <c r="C27" s="334" t="e">
        <f>D18</f>
        <v>#N/A</v>
      </c>
      <c r="D27" s="334" t="e">
        <f>D15</f>
        <v>#DIV/0!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25">
      <c r="A28" s="87"/>
      <c r="B28" s="334">
        <f>C12</f>
        <v>0</v>
      </c>
      <c r="C28" s="334">
        <f>C18</f>
        <v>0</v>
      </c>
      <c r="D28" s="334">
        <f>C15</f>
        <v>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25">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25">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
      <c r="A32" s="1793" t="s">
        <v>1192</v>
      </c>
      <c r="B32" s="1793"/>
      <c r="C32" s="1793"/>
      <c r="D32" s="1793"/>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25">
      <c r="A33" s="1763" t="s">
        <v>834</v>
      </c>
      <c r="B33" s="1773" t="s">
        <v>1174</v>
      </c>
      <c r="C33" s="1769" t="s">
        <v>1346</v>
      </c>
      <c r="D33" s="1789" t="s">
        <v>1345</v>
      </c>
      <c r="E33" s="87"/>
      <c r="F33" s="87"/>
      <c r="G33" s="1765" t="s">
        <v>834</v>
      </c>
      <c r="H33" s="1759" t="s">
        <v>1174</v>
      </c>
      <c r="I33" s="1800" t="s">
        <v>488</v>
      </c>
      <c r="J33" s="1801"/>
      <c r="K33" s="1800" t="s">
        <v>489</v>
      </c>
      <c r="L33" s="1801"/>
      <c r="M33" s="1800" t="s">
        <v>490</v>
      </c>
      <c r="N33" s="1801"/>
      <c r="O33" s="1800" t="s">
        <v>491</v>
      </c>
      <c r="P33" s="1801"/>
      <c r="Q33" s="1800" t="s">
        <v>805</v>
      </c>
      <c r="R33" s="1801"/>
      <c r="S33" s="1800" t="s">
        <v>806</v>
      </c>
      <c r="T33" s="1801"/>
      <c r="U33" s="1800" t="s">
        <v>807</v>
      </c>
      <c r="V33" s="1801"/>
      <c r="W33" s="1800" t="s">
        <v>808</v>
      </c>
      <c r="X33" s="1801"/>
      <c r="Y33" s="1800" t="s">
        <v>809</v>
      </c>
      <c r="Z33" s="1801"/>
      <c r="AA33" s="1800" t="s">
        <v>482</v>
      </c>
      <c r="AB33" s="1801"/>
      <c r="AC33" s="1800" t="s">
        <v>486</v>
      </c>
      <c r="AD33" s="1801"/>
      <c r="AE33" s="1800" t="s">
        <v>487</v>
      </c>
      <c r="AF33" s="1801"/>
      <c r="AG33" s="87"/>
      <c r="AH33" s="87"/>
      <c r="AI33" s="87"/>
      <c r="AJ33" s="87"/>
      <c r="AK33" s="87"/>
      <c r="AL33" s="87"/>
      <c r="AM33" s="87"/>
      <c r="AN33" s="87"/>
      <c r="AO33" s="87"/>
      <c r="AP33" s="87"/>
      <c r="AQ33" s="87"/>
      <c r="AR33" s="87"/>
      <c r="AS33" s="87"/>
      <c r="AT33" s="87"/>
      <c r="AU33" s="87"/>
    </row>
    <row r="34" spans="1:55" ht="74.45" customHeight="1" thickBot="1" x14ac:dyDescent="0.3">
      <c r="A34" s="1764"/>
      <c r="B34" s="1774"/>
      <c r="C34" s="1806"/>
      <c r="D34" s="1805"/>
      <c r="E34" s="87"/>
      <c r="F34" s="87"/>
      <c r="G34" s="1766"/>
      <c r="H34" s="1760"/>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25">
      <c r="A35" s="338" t="s">
        <v>1194</v>
      </c>
      <c r="B35" s="339" t="s">
        <v>842</v>
      </c>
      <c r="C35" s="340">
        <f>'Расчет базового уровня'!D35</f>
        <v>0</v>
      </c>
      <c r="D35" s="341" t="e">
        <f>D38+D62+D65+D68-D71</f>
        <v>#N/A</v>
      </c>
      <c r="E35" s="87"/>
      <c r="F35" s="87"/>
      <c r="G35" s="342" t="s">
        <v>1192</v>
      </c>
      <c r="H35" s="343" t="s">
        <v>842</v>
      </c>
      <c r="I35" s="340" t="e">
        <f>'Расчет базового уровня'!J35</f>
        <v>#N/A</v>
      </c>
      <c r="J35" s="344" t="e">
        <f>J38+J62+J65+J68-J71</f>
        <v>#N/A</v>
      </c>
      <c r="K35" s="340" t="e">
        <f>'Расчет базового уровня'!M35</f>
        <v>#N/A</v>
      </c>
      <c r="L35" s="345" t="e">
        <f>L38+L62+L65+L68-L71</f>
        <v>#N/A</v>
      </c>
      <c r="M35" s="340" t="e">
        <f>'Расчет базового уровня'!P35</f>
        <v>#N/A</v>
      </c>
      <c r="N35" s="344" t="e">
        <f>N38+N62+N65+N68-N71</f>
        <v>#N/A</v>
      </c>
      <c r="O35" s="340" t="e">
        <f>'Расчет базового уровня'!S35</f>
        <v>#N/A</v>
      </c>
      <c r="P35" s="345" t="e">
        <f>P38+P62+P65+P68-P71</f>
        <v>#N/A</v>
      </c>
      <c r="Q35" s="340" t="e">
        <f>'Расчет базового уровня'!V35</f>
        <v>#N/A</v>
      </c>
      <c r="R35" s="344" t="e">
        <f>R38+R62+R65+R68-R71</f>
        <v>#N/A</v>
      </c>
      <c r="S35" s="340" t="e">
        <f>'Расчет базового уровня'!Y35</f>
        <v>#N/A</v>
      </c>
      <c r="T35" s="344" t="e">
        <f>T38+T62+T65+T68-T71</f>
        <v>#N/A</v>
      </c>
      <c r="U35" s="340" t="e">
        <f>'Расчет базового уровня'!AB35</f>
        <v>#N/A</v>
      </c>
      <c r="V35" s="344" t="e">
        <f>V38+V62+V65+V68-V71</f>
        <v>#N/A</v>
      </c>
      <c r="W35" s="340" t="e">
        <f>'Расчет базового уровня'!AE35</f>
        <v>#N/A</v>
      </c>
      <c r="X35" s="344" t="e">
        <f>X38+X62+X65+X68-X71</f>
        <v>#N/A</v>
      </c>
      <c r="Y35" s="340" t="e">
        <f>'Расчет базового уровня'!AH35</f>
        <v>#N/A</v>
      </c>
      <c r="Z35" s="344" t="e">
        <f>Z38+Z62+Z65+Z68-Z71</f>
        <v>#N/A</v>
      </c>
      <c r="AA35" s="340" t="e">
        <f>'Расчет базового уровня'!AK35</f>
        <v>#N/A</v>
      </c>
      <c r="AB35" s="344" t="e">
        <f>AB38+AB62+AB65+AB68-AB71</f>
        <v>#N/A</v>
      </c>
      <c r="AC35" s="340" t="e">
        <f>'Расчет базового уровня'!AN35</f>
        <v>#N/A</v>
      </c>
      <c r="AD35" s="344" t="e">
        <f>AD38+AD62+AD65+AD68-AD71</f>
        <v>#N/A</v>
      </c>
      <c r="AE35" s="340" t="e">
        <f>'Расчет базового уровня'!AQ35</f>
        <v>#N/A</v>
      </c>
      <c r="AF35" s="344" t="e">
        <f>AF38+AF62+AF65+AF68-AF71</f>
        <v>#N/A</v>
      </c>
      <c r="AG35" s="87"/>
      <c r="AH35" s="87"/>
      <c r="AI35" s="87"/>
      <c r="AJ35" s="87"/>
      <c r="AK35" s="87"/>
      <c r="AL35" s="87"/>
      <c r="AM35" s="87"/>
      <c r="AN35" s="87"/>
      <c r="AO35" s="87"/>
      <c r="AP35" s="87"/>
      <c r="AQ35" s="87"/>
      <c r="AR35" s="87"/>
      <c r="AS35" s="87"/>
      <c r="AT35" s="87"/>
      <c r="AU35" s="87"/>
    </row>
    <row r="36" spans="1:55" ht="11.25" customHeight="1" x14ac:dyDescent="0.25">
      <c r="A36" s="324" t="s">
        <v>1347</v>
      </c>
      <c r="B36" s="321" t="s">
        <v>842</v>
      </c>
      <c r="C36" s="325"/>
      <c r="D36" s="325" t="e">
        <f>C35-D35</f>
        <v>#N/A</v>
      </c>
      <c r="E36" s="87"/>
      <c r="F36" s="87"/>
      <c r="G36" s="324" t="s">
        <v>1347</v>
      </c>
      <c r="H36" s="321" t="s">
        <v>842</v>
      </c>
      <c r="I36" s="325"/>
      <c r="J36" s="325" t="e">
        <f>I35-J35</f>
        <v>#N/A</v>
      </c>
      <c r="K36" s="325"/>
      <c r="L36" s="325" t="e">
        <f>K35-L35</f>
        <v>#N/A</v>
      </c>
      <c r="M36" s="325"/>
      <c r="N36" s="325" t="e">
        <f>M35-N35</f>
        <v>#N/A</v>
      </c>
      <c r="O36" s="325"/>
      <c r="P36" s="325" t="e">
        <f>O35-P35</f>
        <v>#N/A</v>
      </c>
      <c r="Q36" s="325"/>
      <c r="R36" s="325" t="e">
        <f>Q35-R35</f>
        <v>#N/A</v>
      </c>
      <c r="S36" s="325"/>
      <c r="T36" s="325" t="e">
        <f>S35-T35</f>
        <v>#N/A</v>
      </c>
      <c r="U36" s="325"/>
      <c r="V36" s="325" t="e">
        <f>U35-V35</f>
        <v>#N/A</v>
      </c>
      <c r="W36" s="325"/>
      <c r="X36" s="325" t="e">
        <f>W35-X35</f>
        <v>#N/A</v>
      </c>
      <c r="Y36" s="325"/>
      <c r="Z36" s="325" t="e">
        <f>Y35-Z35</f>
        <v>#N/A</v>
      </c>
      <c r="AA36" s="325"/>
      <c r="AB36" s="325" t="e">
        <f>AA35-AB35</f>
        <v>#N/A</v>
      </c>
      <c r="AC36" s="325"/>
      <c r="AD36" s="325" t="e">
        <f>AC35-AD35</f>
        <v>#N/A</v>
      </c>
      <c r="AE36" s="325"/>
      <c r="AF36" s="325" t="e">
        <f>AE35-AF35</f>
        <v>#N/A</v>
      </c>
      <c r="AG36" s="87"/>
      <c r="AH36" s="87"/>
      <c r="AI36" s="87"/>
      <c r="AJ36" s="87"/>
      <c r="AK36" s="87"/>
      <c r="AL36" s="87"/>
      <c r="AM36" s="87"/>
      <c r="AN36" s="87"/>
      <c r="AO36" s="87"/>
      <c r="AP36" s="87"/>
      <c r="AQ36" s="87"/>
      <c r="AR36" s="87"/>
      <c r="AS36" s="87"/>
      <c r="AT36" s="87"/>
      <c r="AU36" s="87"/>
    </row>
    <row r="37" spans="1:55" ht="15.75" thickBot="1" x14ac:dyDescent="0.3">
      <c r="A37" s="324" t="s">
        <v>874</v>
      </c>
      <c r="B37" s="326" t="s">
        <v>1181</v>
      </c>
      <c r="C37" s="327"/>
      <c r="D37" s="327">
        <f>IF(C35=0,0,D36/C35)</f>
        <v>0</v>
      </c>
      <c r="E37" s="87"/>
      <c r="F37" s="87"/>
      <c r="G37" s="324" t="s">
        <v>874</v>
      </c>
      <c r="H37" s="326" t="s">
        <v>1181</v>
      </c>
      <c r="I37" s="327"/>
      <c r="J37" s="327" t="e">
        <f>IF(I35=0,0,J36/I35)</f>
        <v>#N/A</v>
      </c>
      <c r="K37" s="327"/>
      <c r="L37" s="327" t="e">
        <f>IF(K35=0,0,L36/K35)</f>
        <v>#N/A</v>
      </c>
      <c r="M37" s="327"/>
      <c r="N37" s="327" t="e">
        <f>IF(M35=0,0,N36/M35)</f>
        <v>#N/A</v>
      </c>
      <c r="O37" s="327"/>
      <c r="P37" s="327" t="e">
        <f>IF(O35=0,0,P36/O35)</f>
        <v>#N/A</v>
      </c>
      <c r="Q37" s="327"/>
      <c r="R37" s="327" t="e">
        <f>IF(Q35=0,0,R36/Q35)</f>
        <v>#N/A</v>
      </c>
      <c r="S37" s="327"/>
      <c r="T37" s="327" t="e">
        <f>IF(S35=0,0,T36/S35)</f>
        <v>#N/A</v>
      </c>
      <c r="U37" s="327"/>
      <c r="V37" s="327" t="e">
        <f>IF(U35=0,0,V36/U35)</f>
        <v>#N/A</v>
      </c>
      <c r="W37" s="327"/>
      <c r="X37" s="327" t="e">
        <f>IF(W35=0,0,X36/W35)</f>
        <v>#N/A</v>
      </c>
      <c r="Y37" s="327"/>
      <c r="Z37" s="327" t="e">
        <f>IF(Y35=0,0,Z36/Y35)</f>
        <v>#N/A</v>
      </c>
      <c r="AA37" s="327"/>
      <c r="AB37" s="327" t="e">
        <f>IF(AA35=0,0,AB36/AA35)</f>
        <v>#N/A</v>
      </c>
      <c r="AC37" s="327"/>
      <c r="AD37" s="327" t="e">
        <f>IF(AC35=0,0,AD36/AC35)</f>
        <v>#N/A</v>
      </c>
      <c r="AE37" s="327"/>
      <c r="AF37" s="327" t="e">
        <f>IF(AE35=0,0,AF36/AE35)</f>
        <v>#N/A</v>
      </c>
      <c r="AG37" s="87"/>
      <c r="AH37" s="87"/>
      <c r="AI37" s="87"/>
      <c r="AJ37" s="87"/>
      <c r="AK37" s="87"/>
      <c r="AL37" s="87"/>
      <c r="AM37" s="87"/>
      <c r="AN37" s="87"/>
      <c r="AO37" s="87"/>
      <c r="AP37" s="87"/>
      <c r="AQ37" s="87"/>
      <c r="AR37" s="87"/>
      <c r="AS37" s="87"/>
      <c r="AT37" s="87"/>
      <c r="AU37" s="87"/>
    </row>
    <row r="38" spans="1:55" ht="29.25" customHeight="1" x14ac:dyDescent="0.25">
      <c r="A38" s="346" t="s">
        <v>1195</v>
      </c>
      <c r="B38" s="339" t="s">
        <v>842</v>
      </c>
      <c r="C38" s="340" t="e">
        <f>'Расчет базового уровня'!D38</f>
        <v>#N/A</v>
      </c>
      <c r="D38" s="347" t="e">
        <f>D41+D44+D47+D50+D53+D56+D59</f>
        <v>#N/A</v>
      </c>
      <c r="E38" s="87"/>
      <c r="F38" s="87"/>
      <c r="G38" s="342" t="s">
        <v>1196</v>
      </c>
      <c r="H38" s="348" t="s">
        <v>842</v>
      </c>
      <c r="I38" s="340" t="e">
        <f>'Расчет базового уровня'!J38</f>
        <v>#N/A</v>
      </c>
      <c r="J38" s="347" t="e">
        <f>J41+J44+J47+J50+J53+J56+J59</f>
        <v>#N/A</v>
      </c>
      <c r="K38" s="340" t="e">
        <f>'Расчет базового уровня'!M38</f>
        <v>#N/A</v>
      </c>
      <c r="L38" s="347" t="e">
        <f>L41+L44+L47+L50+L53+L56+L59</f>
        <v>#N/A</v>
      </c>
      <c r="M38" s="340" t="e">
        <f>'Расчет базового уровня'!P38</f>
        <v>#N/A</v>
      </c>
      <c r="N38" s="347" t="e">
        <f>N41+N44+N47+N50+N53+N56+N59</f>
        <v>#N/A</v>
      </c>
      <c r="O38" s="340" t="e">
        <f>'Расчет базового уровня'!S38</f>
        <v>#N/A</v>
      </c>
      <c r="P38" s="347" t="e">
        <f>P41+P44+P47+P50+P53+P56+P59</f>
        <v>#N/A</v>
      </c>
      <c r="Q38" s="340">
        <f>'Расчет базового уровня'!V38</f>
        <v>0</v>
      </c>
      <c r="R38" s="347" t="e">
        <f>R41+R44+R47+R50+R53+R56+R59</f>
        <v>#N/A</v>
      </c>
      <c r="S38" s="340">
        <f>'Расчет базового уровня'!Y38</f>
        <v>0</v>
      </c>
      <c r="T38" s="347" t="e">
        <f>T41+T44+T47+T50+T53+T56+T59</f>
        <v>#N/A</v>
      </c>
      <c r="U38" s="340">
        <f>'Расчет базового уровня'!AB38</f>
        <v>0</v>
      </c>
      <c r="V38" s="347" t="e">
        <f>V41+V44+V47+V50+V53+V56+V59</f>
        <v>#N/A</v>
      </c>
      <c r="W38" s="340">
        <f>'Расчет базового уровня'!AE38</f>
        <v>0</v>
      </c>
      <c r="X38" s="347" t="e">
        <f>X41+X44+X47+X50+X53+X56+X59</f>
        <v>#N/A</v>
      </c>
      <c r="Y38" s="340">
        <f>'Расчет базового уровня'!AH38</f>
        <v>0</v>
      </c>
      <c r="Z38" s="347" t="e">
        <f>Z41+Z44+Z47+Z50+Z53+Z56+Z59</f>
        <v>#N/A</v>
      </c>
      <c r="AA38" s="340">
        <f>'Расчет базового уровня'!AK38</f>
        <v>0</v>
      </c>
      <c r="AB38" s="347" t="e">
        <f>AB41+AB44+AB47+AB50+AB53+AB56+AB59</f>
        <v>#N/A</v>
      </c>
      <c r="AC38" s="340">
        <f>'Расчет базового уровня'!AN38</f>
        <v>0</v>
      </c>
      <c r="AD38" s="347" t="e">
        <f>AD41+AD44+AD47+AD50+AD53+AD56+AD59</f>
        <v>#N/A</v>
      </c>
      <c r="AE38" s="340">
        <f>'Расчет базового уровня'!AQ38</f>
        <v>0</v>
      </c>
      <c r="AF38" s="347" t="e">
        <f>AF41+AF44+AF47+AF50+AF53+AF56+AF59</f>
        <v>#N/A</v>
      </c>
      <c r="AG38" s="87"/>
      <c r="AH38" s="87"/>
      <c r="AI38" s="87"/>
      <c r="AJ38" s="87"/>
      <c r="AK38" s="87"/>
      <c r="AL38" s="87"/>
      <c r="AM38" s="87"/>
      <c r="AN38" s="87"/>
      <c r="AO38" s="87"/>
      <c r="AP38" s="87"/>
      <c r="AQ38" s="87"/>
      <c r="AR38" s="87"/>
      <c r="AS38" s="87"/>
      <c r="AT38" s="87"/>
      <c r="AU38" s="87"/>
    </row>
    <row r="39" spans="1:55" x14ac:dyDescent="0.25">
      <c r="A39" s="324" t="s">
        <v>1347</v>
      </c>
      <c r="B39" s="321" t="s">
        <v>842</v>
      </c>
      <c r="C39" s="325"/>
      <c r="D39" s="325" t="e">
        <f>C38-D38</f>
        <v>#N/A</v>
      </c>
      <c r="E39" s="87"/>
      <c r="F39" s="87"/>
      <c r="G39" s="324" t="s">
        <v>1347</v>
      </c>
      <c r="H39" s="321" t="s">
        <v>842</v>
      </c>
      <c r="I39" s="325"/>
      <c r="J39" s="325" t="e">
        <f>I38-J38</f>
        <v>#N/A</v>
      </c>
      <c r="K39" s="325"/>
      <c r="L39" s="325" t="e">
        <f>K38-L38</f>
        <v>#N/A</v>
      </c>
      <c r="M39" s="325"/>
      <c r="N39" s="325" t="e">
        <f>M38-N38</f>
        <v>#N/A</v>
      </c>
      <c r="O39" s="325"/>
      <c r="P39" s="325" t="e">
        <f>O38-P38</f>
        <v>#N/A</v>
      </c>
      <c r="Q39" s="325"/>
      <c r="R39" s="325" t="e">
        <f>Q38-R38</f>
        <v>#N/A</v>
      </c>
      <c r="S39" s="325"/>
      <c r="T39" s="325" t="e">
        <f>S38-T38</f>
        <v>#N/A</v>
      </c>
      <c r="U39" s="325"/>
      <c r="V39" s="325" t="e">
        <f>U38-V38</f>
        <v>#N/A</v>
      </c>
      <c r="W39" s="325"/>
      <c r="X39" s="325" t="e">
        <f>W38-X38</f>
        <v>#N/A</v>
      </c>
      <c r="Y39" s="325"/>
      <c r="Z39" s="325" t="e">
        <f>Y38-Z38</f>
        <v>#N/A</v>
      </c>
      <c r="AA39" s="325"/>
      <c r="AB39" s="325" t="e">
        <f>AA38-AB38</f>
        <v>#N/A</v>
      </c>
      <c r="AC39" s="325"/>
      <c r="AD39" s="325" t="e">
        <f>AC38-AD38</f>
        <v>#N/A</v>
      </c>
      <c r="AE39" s="325"/>
      <c r="AF39" s="325" t="e">
        <f>AE38-AF38</f>
        <v>#N/A</v>
      </c>
      <c r="AG39" s="87"/>
      <c r="AH39" s="87"/>
      <c r="AI39" s="87"/>
      <c r="AJ39" s="87"/>
      <c r="AK39" s="87"/>
      <c r="AL39" s="87"/>
      <c r="AM39" s="87"/>
      <c r="AN39" s="87"/>
      <c r="AO39" s="87"/>
      <c r="AP39" s="87"/>
      <c r="AQ39" s="87"/>
      <c r="AR39" s="87"/>
      <c r="AS39" s="87"/>
      <c r="AT39" s="87"/>
      <c r="AU39" s="87"/>
    </row>
    <row r="40" spans="1:55" ht="15.75" thickBot="1" x14ac:dyDescent="0.3">
      <c r="A40" s="324" t="s">
        <v>874</v>
      </c>
      <c r="B40" s="326" t="s">
        <v>1181</v>
      </c>
      <c r="C40" s="327"/>
      <c r="D40" s="327" t="e">
        <f>IF(C38=0,0,D39/C38)</f>
        <v>#N/A</v>
      </c>
      <c r="E40" s="87"/>
      <c r="F40" s="87"/>
      <c r="G40" s="324" t="s">
        <v>874</v>
      </c>
      <c r="H40" s="326" t="s">
        <v>1181</v>
      </c>
      <c r="I40" s="327"/>
      <c r="J40" s="327" t="e">
        <f>IF(I38=0,0,J39/I38)</f>
        <v>#N/A</v>
      </c>
      <c r="K40" s="327"/>
      <c r="L40" s="327" t="e">
        <f>IF(K38=0,0,L39/K38)</f>
        <v>#N/A</v>
      </c>
      <c r="M40" s="327"/>
      <c r="N40" s="327" t="e">
        <f>IF(M38=0,0,N39/M38)</f>
        <v>#N/A</v>
      </c>
      <c r="O40" s="327"/>
      <c r="P40" s="327" t="e">
        <f>IF(O38=0,0,P39/O38)</f>
        <v>#N/A</v>
      </c>
      <c r="Q40" s="327"/>
      <c r="R40" s="327">
        <f>IF(Q38=0,0,R39/Q38)</f>
        <v>0</v>
      </c>
      <c r="S40" s="327"/>
      <c r="T40" s="327">
        <f>IF(S38=0,0,T39/S38)</f>
        <v>0</v>
      </c>
      <c r="U40" s="327"/>
      <c r="V40" s="327">
        <f>IF(U38=0,0,V39/U38)</f>
        <v>0</v>
      </c>
      <c r="W40" s="327"/>
      <c r="X40" s="327">
        <f>IF(W38=0,0,X39/W38)</f>
        <v>0</v>
      </c>
      <c r="Y40" s="327"/>
      <c r="Z40" s="327">
        <f>IF(Y38=0,0,Z39/Y38)</f>
        <v>0</v>
      </c>
      <c r="AA40" s="327"/>
      <c r="AB40" s="327">
        <f>IF(AA38=0,0,AB39/AA38)</f>
        <v>0</v>
      </c>
      <c r="AC40" s="327"/>
      <c r="AD40" s="327">
        <f>IF(AC38=0,0,AD39/AC38)</f>
        <v>0</v>
      </c>
      <c r="AE40" s="327"/>
      <c r="AF40" s="327">
        <f>IF(AE38=0,0,AF39/AE38)</f>
        <v>0</v>
      </c>
      <c r="AG40" s="87"/>
      <c r="AH40" s="87"/>
      <c r="AI40" s="87"/>
      <c r="AJ40" s="87"/>
      <c r="AK40" s="87"/>
      <c r="AL40" s="87"/>
      <c r="AM40" s="87"/>
      <c r="AN40" s="87"/>
      <c r="AO40" s="87"/>
      <c r="AP40" s="87"/>
      <c r="AQ40" s="87"/>
      <c r="AR40" s="87"/>
      <c r="AS40" s="87"/>
      <c r="AT40" s="87"/>
      <c r="AU40" s="87"/>
    </row>
    <row r="41" spans="1:55" ht="15.75" customHeight="1" x14ac:dyDescent="0.25">
      <c r="A41" s="349" t="s">
        <v>1197</v>
      </c>
      <c r="B41" s="339" t="s">
        <v>842</v>
      </c>
      <c r="C41" s="340" t="e">
        <f>'Расчет базового уровня'!D41</f>
        <v>#N/A</v>
      </c>
      <c r="D41" s="350" t="e">
        <f>IF(IF(C134=0,0,B134/C134*D134)*0.024*$D$147*(1-D163)&gt;C41,C41,IF(C134=0,0,B134/C134*D134)*0.024*$D$147*(1-D163))</f>
        <v>#N/A</v>
      </c>
      <c r="E41" s="87"/>
      <c r="F41" s="87"/>
      <c r="G41" s="351" t="s">
        <v>1197</v>
      </c>
      <c r="H41" s="343" t="s">
        <v>842</v>
      </c>
      <c r="I41" s="340" t="e">
        <f>'Расчет базового уровня'!J41</f>
        <v>#N/A</v>
      </c>
      <c r="J41" s="352" t="e">
        <f>IF($C134=0,0,MIN($B134/$C134*$D134*0.024*$G$147,I41))</f>
        <v>#N/A</v>
      </c>
      <c r="K41" s="340" t="e">
        <f>'Расчет базового уровня'!M41</f>
        <v>#N/A</v>
      </c>
      <c r="L41" s="352" t="e">
        <f>IF($C134=0,0,MIN($B134/$C134*$D134*0.024*$H$147,K41))</f>
        <v>#N/A</v>
      </c>
      <c r="M41" s="340" t="e">
        <f>'Расчет базового уровня'!P41</f>
        <v>#N/A</v>
      </c>
      <c r="N41" s="352" t="e">
        <f>IF($C134=0,0,MIN($B134/$C134*$D134*0.024*$I$147,M41))</f>
        <v>#N/A</v>
      </c>
      <c r="O41" s="340" t="e">
        <f>'Расчет базового уровня'!S41</f>
        <v>#N/A</v>
      </c>
      <c r="P41" s="352" t="e">
        <f>IF($C134=0,0,MIN($B134/$C134*$D134*0.024*$J$147,O41))</f>
        <v>#N/A</v>
      </c>
      <c r="Q41" s="340">
        <f>'Расчет базового уровня'!V41</f>
        <v>0</v>
      </c>
      <c r="R41" s="352" t="e">
        <f>IF($C134=0,0,MIN($B134/$C134*$D134*0.024*$K$147,Q41))</f>
        <v>#N/A</v>
      </c>
      <c r="S41" s="340">
        <f>'Расчет базового уровня'!Y41</f>
        <v>0</v>
      </c>
      <c r="T41" s="352" t="e">
        <f>IF($C134=0,0,MIN($B134/$C134*$D134*0.024*$L$147,S41))</f>
        <v>#N/A</v>
      </c>
      <c r="U41" s="340">
        <f>'Расчет базового уровня'!AB41</f>
        <v>0</v>
      </c>
      <c r="V41" s="352" t="e">
        <f>IF($C134=0,0,MIN($B134/$C134*$D134*0.024*$M$147,U41))</f>
        <v>#N/A</v>
      </c>
      <c r="W41" s="340">
        <f>'Расчет базового уровня'!AE41</f>
        <v>0</v>
      </c>
      <c r="X41" s="352" t="e">
        <f>IF($C134=0,0,MIN($B134/$C134*$D134*0.024*$N$147,W41))</f>
        <v>#N/A</v>
      </c>
      <c r="Y41" s="340">
        <f>'Расчет базового уровня'!AH41</f>
        <v>0</v>
      </c>
      <c r="Z41" s="352" t="e">
        <f>IF($C134=0,0,MIN($B134/$C134*$D134*0.024*$O$147,Y41))</f>
        <v>#N/A</v>
      </c>
      <c r="AA41" s="340" t="e">
        <f>'Расчет базового уровня'!AK41</f>
        <v>#N/A</v>
      </c>
      <c r="AB41" s="352" t="e">
        <f>IF($C134=0,0,MIN($B134/$C134*$D134*0.024*$P$147,AA41))</f>
        <v>#N/A</v>
      </c>
      <c r="AC41" s="340" t="e">
        <f>'Расчет базового уровня'!AN41</f>
        <v>#N/A</v>
      </c>
      <c r="AD41" s="352" t="e">
        <f>IF($C134=0,0,MIN($B134/$C134*$D134*0.024*$Q$147,AC41))</f>
        <v>#N/A</v>
      </c>
      <c r="AE41" s="340" t="e">
        <f>'Расчет базового уровня'!AQ41</f>
        <v>#N/A</v>
      </c>
      <c r="AF41" s="352" t="e">
        <f>IF($C134=0,0,MIN($B134/$C134*$D134*0.024*$R$147,AE41))</f>
        <v>#N/A</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25">
      <c r="A42" s="324" t="s">
        <v>1347</v>
      </c>
      <c r="B42" s="321" t="s">
        <v>842</v>
      </c>
      <c r="C42" s="325"/>
      <c r="D42" s="325" t="e">
        <f>C41-D41</f>
        <v>#N/A</v>
      </c>
      <c r="E42" s="87"/>
      <c r="F42" s="87"/>
      <c r="G42" s="324" t="s">
        <v>1347</v>
      </c>
      <c r="H42" s="321" t="s">
        <v>842</v>
      </c>
      <c r="I42" s="325"/>
      <c r="J42" s="325" t="e">
        <f>I41-J41</f>
        <v>#N/A</v>
      </c>
      <c r="K42" s="325"/>
      <c r="L42" s="325" t="e">
        <f>K41-L41</f>
        <v>#N/A</v>
      </c>
      <c r="M42" s="325"/>
      <c r="N42" s="325" t="e">
        <f>M41-N41</f>
        <v>#N/A</v>
      </c>
      <c r="O42" s="325"/>
      <c r="P42" s="325" t="e">
        <f>O41-P41</f>
        <v>#N/A</v>
      </c>
      <c r="Q42" s="325"/>
      <c r="R42" s="325" t="e">
        <f>Q41-R41</f>
        <v>#N/A</v>
      </c>
      <c r="S42" s="325"/>
      <c r="T42" s="325" t="e">
        <f>S41-T41</f>
        <v>#N/A</v>
      </c>
      <c r="U42" s="325"/>
      <c r="V42" s="325" t="e">
        <f>U41-V41</f>
        <v>#N/A</v>
      </c>
      <c r="W42" s="325"/>
      <c r="X42" s="325" t="e">
        <f>W41-X41</f>
        <v>#N/A</v>
      </c>
      <c r="Y42" s="325"/>
      <c r="Z42" s="325" t="e">
        <f>Y41-Z41</f>
        <v>#N/A</v>
      </c>
      <c r="AA42" s="325"/>
      <c r="AB42" s="325" t="e">
        <f>AA41-AB41</f>
        <v>#N/A</v>
      </c>
      <c r="AC42" s="325"/>
      <c r="AD42" s="325" t="e">
        <f>AC41-AD41</f>
        <v>#N/A</v>
      </c>
      <c r="AE42" s="325"/>
      <c r="AF42" s="325" t="e">
        <f>AE41-AF41</f>
        <v>#N/A</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75" thickBot="1" x14ac:dyDescent="0.3">
      <c r="A43" s="324" t="s">
        <v>874</v>
      </c>
      <c r="B43" s="326" t="s">
        <v>1181</v>
      </c>
      <c r="C43" s="327"/>
      <c r="D43" s="327" t="e">
        <f>IF(C41=0,0,D42/C41)</f>
        <v>#N/A</v>
      </c>
      <c r="E43" s="87"/>
      <c r="F43" s="87"/>
      <c r="G43" s="324" t="s">
        <v>874</v>
      </c>
      <c r="H43" s="326" t="s">
        <v>1181</v>
      </c>
      <c r="I43" s="327"/>
      <c r="J43" s="327" t="e">
        <f>IF(I41=0,0,J42/I41)</f>
        <v>#N/A</v>
      </c>
      <c r="K43" s="327"/>
      <c r="L43" s="327" t="e">
        <f>IF(K41=0,0,L42/K41)</f>
        <v>#N/A</v>
      </c>
      <c r="M43" s="327"/>
      <c r="N43" s="327" t="e">
        <f>IF(M41=0,0,N42/M41)</f>
        <v>#N/A</v>
      </c>
      <c r="O43" s="327"/>
      <c r="P43" s="327" t="e">
        <f>IF(O41=0,0,P42/O41)</f>
        <v>#N/A</v>
      </c>
      <c r="Q43" s="327"/>
      <c r="R43" s="327">
        <f>IF(Q41=0,0,R42/Q41)</f>
        <v>0</v>
      </c>
      <c r="S43" s="327"/>
      <c r="T43" s="327">
        <f>IF(S41=0,0,T42/S41)</f>
        <v>0</v>
      </c>
      <c r="U43" s="327"/>
      <c r="V43" s="327">
        <f>IF(U41=0,0,V42/U41)</f>
        <v>0</v>
      </c>
      <c r="W43" s="327"/>
      <c r="X43" s="327">
        <f>IF(W41=0,0,X42/W41)</f>
        <v>0</v>
      </c>
      <c r="Y43" s="327"/>
      <c r="Z43" s="327">
        <f>IF(Y41=0,0,Z42/Y41)</f>
        <v>0</v>
      </c>
      <c r="AA43" s="327"/>
      <c r="AB43" s="327" t="e">
        <f>IF(AA41=0,0,AB42/AA41)</f>
        <v>#N/A</v>
      </c>
      <c r="AC43" s="327"/>
      <c r="AD43" s="327" t="e">
        <f>IF(AC41=0,0,AD42/AC41)</f>
        <v>#N/A</v>
      </c>
      <c r="AE43" s="327"/>
      <c r="AF43" s="327" t="e">
        <f>IF(AE41=0,0,AF42/AE41)</f>
        <v>#N/A</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25">
      <c r="A44" s="349" t="s">
        <v>1199</v>
      </c>
      <c r="B44" s="339" t="s">
        <v>842</v>
      </c>
      <c r="C44" s="340" t="e">
        <f>'Расчет базового уровня'!D44</f>
        <v>#N/A</v>
      </c>
      <c r="D44" s="350" t="e">
        <f>IF(IF(C135=0,0,B135/C135*D135)*0.024*$D$147&gt;C44,C44,IF(C135=0,0,B135/C135*D135)*0.024*$D$147)</f>
        <v>#N/A</v>
      </c>
      <c r="E44" s="87"/>
      <c r="F44" s="87"/>
      <c r="G44" s="351" t="s">
        <v>1199</v>
      </c>
      <c r="H44" s="343" t="s">
        <v>842</v>
      </c>
      <c r="I44" s="340" t="e">
        <f>'Расчет базового уровня'!J44</f>
        <v>#N/A</v>
      </c>
      <c r="J44" s="352" t="e">
        <f>IF($C135=0,0,MIN($B135/$C135*$D135*0.024*$G$147,I44))</f>
        <v>#N/A</v>
      </c>
      <c r="K44" s="340" t="e">
        <f>'Расчет базового уровня'!M44</f>
        <v>#N/A</v>
      </c>
      <c r="L44" s="352" t="e">
        <f>IF($C135=0,0,MIN($B135/$C135*$D135*0.024*$H$147,K44))</f>
        <v>#N/A</v>
      </c>
      <c r="M44" s="340" t="e">
        <f>'Расчет базового уровня'!P44</f>
        <v>#N/A</v>
      </c>
      <c r="N44" s="352" t="e">
        <f>IF($C135=0,0,MIN($B135/$C135*$D135*0.024*$I$147,M44))</f>
        <v>#N/A</v>
      </c>
      <c r="O44" s="340" t="e">
        <f>'Расчет базового уровня'!S44</f>
        <v>#N/A</v>
      </c>
      <c r="P44" s="352" t="e">
        <f>IF($C135=0,0,MIN($B135/$C135*$D135*0.024*$J$147,O44))</f>
        <v>#N/A</v>
      </c>
      <c r="Q44" s="340">
        <f>'Расчет базового уровня'!V44</f>
        <v>0</v>
      </c>
      <c r="R44" s="352" t="e">
        <f>IF($C135=0,0,MIN($B135/$C135*$D135*0.024*$K$147,Q44))</f>
        <v>#N/A</v>
      </c>
      <c r="S44" s="340">
        <f>'Расчет базового уровня'!Y44</f>
        <v>0</v>
      </c>
      <c r="T44" s="352" t="e">
        <f>IF($C135=0,0,MIN($B135/$C135*$D135*0.024*$L$147,S44))</f>
        <v>#N/A</v>
      </c>
      <c r="U44" s="340">
        <f>'Расчет базового уровня'!AB44</f>
        <v>0</v>
      </c>
      <c r="V44" s="352" t="e">
        <f>IF($C135=0,0,MIN($B135/$C135*$D135*0.024*$M$147,U44))</f>
        <v>#N/A</v>
      </c>
      <c r="W44" s="340">
        <f>'Расчет базового уровня'!AE44</f>
        <v>0</v>
      </c>
      <c r="X44" s="352" t="e">
        <f>IF($C135=0,0,MIN($B135/$C135*$D135*0.024*$N$147,W44))</f>
        <v>#N/A</v>
      </c>
      <c r="Y44" s="340">
        <f>'Расчет базового уровня'!AH44</f>
        <v>0</v>
      </c>
      <c r="Z44" s="352" t="e">
        <f>IF($C135=0,0,MIN($B135/$C135*$D135*0.024*$O$147,Y44))</f>
        <v>#N/A</v>
      </c>
      <c r="AA44" s="340" t="e">
        <f>'Расчет базового уровня'!AK44</f>
        <v>#N/A</v>
      </c>
      <c r="AB44" s="352" t="e">
        <f>IF($C135=0,0,MIN($B135/$C135*$D135*0.024*$P$147,AA44))</f>
        <v>#N/A</v>
      </c>
      <c r="AC44" s="340" t="e">
        <f>'Расчет базового уровня'!AN44</f>
        <v>#N/A</v>
      </c>
      <c r="AD44" s="352" t="e">
        <f>IF($C135=0,0,MIN($B135/$C135*$D135*0.024*$Q$147,AC44))</f>
        <v>#N/A</v>
      </c>
      <c r="AE44" s="340" t="e">
        <f>'Расчет базового уровня'!AQ44</f>
        <v>#N/A</v>
      </c>
      <c r="AF44" s="352" t="e">
        <f>IF($C135=0,0,MIN($B135/$C135*$D135*0.024*$R$147,AE44))</f>
        <v>#N/A</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25">
      <c r="A45" s="324" t="s">
        <v>1347</v>
      </c>
      <c r="B45" s="321" t="s">
        <v>842</v>
      </c>
      <c r="C45" s="325"/>
      <c r="D45" s="325" t="e">
        <f>C44-D44</f>
        <v>#N/A</v>
      </c>
      <c r="E45" s="87"/>
      <c r="F45" s="87"/>
      <c r="G45" s="324" t="s">
        <v>1347</v>
      </c>
      <c r="H45" s="321" t="s">
        <v>842</v>
      </c>
      <c r="I45" s="325"/>
      <c r="J45" s="325" t="e">
        <f>I44-J44</f>
        <v>#N/A</v>
      </c>
      <c r="K45" s="325"/>
      <c r="L45" s="325" t="e">
        <f>K44-L44</f>
        <v>#N/A</v>
      </c>
      <c r="M45" s="325"/>
      <c r="N45" s="325" t="e">
        <f>M44-N44</f>
        <v>#N/A</v>
      </c>
      <c r="O45" s="325"/>
      <c r="P45" s="325" t="e">
        <f>O44-P44</f>
        <v>#N/A</v>
      </c>
      <c r="Q45" s="325"/>
      <c r="R45" s="325" t="e">
        <f>Q44-R44</f>
        <v>#N/A</v>
      </c>
      <c r="S45" s="325"/>
      <c r="T45" s="325" t="e">
        <f>S44-T44</f>
        <v>#N/A</v>
      </c>
      <c r="U45" s="325"/>
      <c r="V45" s="325" t="e">
        <f>U44-V44</f>
        <v>#N/A</v>
      </c>
      <c r="W45" s="325"/>
      <c r="X45" s="325" t="e">
        <f>W44-X44</f>
        <v>#N/A</v>
      </c>
      <c r="Y45" s="325"/>
      <c r="Z45" s="325" t="e">
        <f>Y44-Z44</f>
        <v>#N/A</v>
      </c>
      <c r="AA45" s="325"/>
      <c r="AB45" s="325" t="e">
        <f>AA44-AB44</f>
        <v>#N/A</v>
      </c>
      <c r="AC45" s="325"/>
      <c r="AD45" s="325" t="e">
        <f>AC44-AD44</f>
        <v>#N/A</v>
      </c>
      <c r="AE45" s="325"/>
      <c r="AF45" s="325" t="e">
        <f>AE44-AF44</f>
        <v>#N/A</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
      <c r="A46" s="324" t="s">
        <v>874</v>
      </c>
      <c r="B46" s="326" t="s">
        <v>1181</v>
      </c>
      <c r="C46" s="327"/>
      <c r="D46" s="327" t="e">
        <f>IF(C44=0,0,D45/C44)</f>
        <v>#N/A</v>
      </c>
      <c r="E46" s="87"/>
      <c r="F46" s="87"/>
      <c r="G46" s="324" t="s">
        <v>874</v>
      </c>
      <c r="H46" s="326" t="s">
        <v>1181</v>
      </c>
      <c r="I46" s="327"/>
      <c r="J46" s="327" t="e">
        <f>IF(I44=0,0,J45/I44)</f>
        <v>#N/A</v>
      </c>
      <c r="K46" s="327"/>
      <c r="L46" s="327" t="e">
        <f>IF(K44=0,0,L45/K44)</f>
        <v>#N/A</v>
      </c>
      <c r="M46" s="327"/>
      <c r="N46" s="327" t="e">
        <f>IF(M44=0,0,N45/M44)</f>
        <v>#N/A</v>
      </c>
      <c r="O46" s="327"/>
      <c r="P46" s="327" t="e">
        <f>IF(O44=0,0,P45/O44)</f>
        <v>#N/A</v>
      </c>
      <c r="Q46" s="327"/>
      <c r="R46" s="327">
        <f>IF(Q44=0,0,R45/Q44)</f>
        <v>0</v>
      </c>
      <c r="S46" s="327"/>
      <c r="T46" s="327">
        <f>IF(S44=0,0,T45/S44)</f>
        <v>0</v>
      </c>
      <c r="U46" s="327"/>
      <c r="V46" s="327">
        <f>IF(U44=0,0,V45/U44)</f>
        <v>0</v>
      </c>
      <c r="W46" s="327"/>
      <c r="X46" s="327">
        <f>IF(W44=0,0,X45/W44)</f>
        <v>0</v>
      </c>
      <c r="Y46" s="327"/>
      <c r="Z46" s="327">
        <f>IF(Y44=0,0,Z45/Y44)</f>
        <v>0</v>
      </c>
      <c r="AA46" s="327"/>
      <c r="AB46" s="327" t="e">
        <f>IF(AA44=0,0,AB45/AA44)</f>
        <v>#N/A</v>
      </c>
      <c r="AC46" s="327"/>
      <c r="AD46" s="327" t="e">
        <f>IF(AC44=0,0,AD45/AC44)</f>
        <v>#N/A</v>
      </c>
      <c r="AE46" s="327"/>
      <c r="AF46" s="327" t="e">
        <f>IF(AE44=0,0,AF45/AE44)</f>
        <v>#N/A</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25">
      <c r="A47" s="349" t="s">
        <v>1201</v>
      </c>
      <c r="B47" s="339" t="s">
        <v>842</v>
      </c>
      <c r="C47" s="340" t="e">
        <f>'Расчет базового уровня'!D47</f>
        <v>#DIV/0!</v>
      </c>
      <c r="D47" s="350" t="e">
        <f>IF(IF(C136=0,0,B136/C136*D136)*0.024*$D$147&gt;C47,C47,IF(C136=0,0,B136/C136*D136)*0.024*$D$147)</f>
        <v>#DIV/0!</v>
      </c>
      <c r="E47" s="87"/>
      <c r="F47" s="87"/>
      <c r="G47" s="351" t="s">
        <v>1201</v>
      </c>
      <c r="H47" s="343" t="s">
        <v>842</v>
      </c>
      <c r="I47" s="340" t="e">
        <f>'Расчет базового уровня'!J47</f>
        <v>#DIV/0!</v>
      </c>
      <c r="J47" s="352" t="e">
        <f>IF($C136=0,0,MIN($B136/$C136*$D136*0.024*$G$147,I47))</f>
        <v>#DIV/0!</v>
      </c>
      <c r="K47" s="340" t="e">
        <f>'Расчет базового уровня'!M47</f>
        <v>#DIV/0!</v>
      </c>
      <c r="L47" s="352" t="e">
        <f>IF($C136=0,0,MIN($B136/$C136*$D136*0.024*$H$147,K47))</f>
        <v>#DIV/0!</v>
      </c>
      <c r="M47" s="340" t="e">
        <f>'Расчет базового уровня'!P47</f>
        <v>#DIV/0!</v>
      </c>
      <c r="N47" s="352" t="e">
        <f>IF($C136=0,0,MIN($B136/$C136*$D136*0.024*$I$147,M47))</f>
        <v>#DIV/0!</v>
      </c>
      <c r="O47" s="340" t="e">
        <f>'Расчет базового уровня'!S47</f>
        <v>#DIV/0!</v>
      </c>
      <c r="P47" s="352" t="e">
        <f>IF($C136=0,0,MIN($B136/$C136*$D136*0.024*$J$147,O47))</f>
        <v>#DIV/0!</v>
      </c>
      <c r="Q47" s="340">
        <f>'Расчет базового уровня'!V47</f>
        <v>0</v>
      </c>
      <c r="R47" s="352" t="e">
        <f>IF($C136=0,0,MIN($B136/$C136*$D136*0.024*$K$147,Q47))</f>
        <v>#DIV/0!</v>
      </c>
      <c r="S47" s="340">
        <f>'Расчет базового уровня'!Y47</f>
        <v>0</v>
      </c>
      <c r="T47" s="352" t="e">
        <f>IF($C136=0,0,MIN($B136/$C136*$D136*0.024*$L$147,S47))</f>
        <v>#DIV/0!</v>
      </c>
      <c r="U47" s="340">
        <f>'Расчет базового уровня'!AB47</f>
        <v>0</v>
      </c>
      <c r="V47" s="352" t="e">
        <f>IF($C136=0,0,MIN($B136/$C136*$D136*0.024*$M$147,U47))</f>
        <v>#DIV/0!</v>
      </c>
      <c r="W47" s="340">
        <f>'Расчет базового уровня'!AE47</f>
        <v>0</v>
      </c>
      <c r="X47" s="352" t="e">
        <f>IF($C136=0,0,MIN($B136/$C136*$D136*0.024*$N$147,W47))</f>
        <v>#DIV/0!</v>
      </c>
      <c r="Y47" s="340">
        <f>'Расчет базового уровня'!AH47</f>
        <v>0</v>
      </c>
      <c r="Z47" s="352" t="e">
        <f>IF($C136=0,0,MIN($B136/$C136*$D136*0.024*$O$147,Y47))</f>
        <v>#DIV/0!</v>
      </c>
      <c r="AA47" s="340" t="e">
        <f>'Расчет базового уровня'!AK47</f>
        <v>#DIV/0!</v>
      </c>
      <c r="AB47" s="352" t="e">
        <f>IF($C136=0,0,MIN($B136/$C136*$D136*0.024*$P$147,AA47))</f>
        <v>#DIV/0!</v>
      </c>
      <c r="AC47" s="340" t="e">
        <f>'Расчет базового уровня'!AN47</f>
        <v>#DIV/0!</v>
      </c>
      <c r="AD47" s="352" t="e">
        <f>IF($C136=0,0,MIN($B136/$C136*$D136*0.024*$Q$147,AC47))</f>
        <v>#DIV/0!</v>
      </c>
      <c r="AE47" s="340" t="e">
        <f>'Расчет базового уровня'!AQ47</f>
        <v>#DIV/0!</v>
      </c>
      <c r="AF47" s="352" t="e">
        <f>IF($C136=0,0,MIN($B136/$C136*$D136*0.024*$R$147,AE47))</f>
        <v>#DIV/0!</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25">
      <c r="A48" s="324" t="s">
        <v>1347</v>
      </c>
      <c r="B48" s="321" t="s">
        <v>842</v>
      </c>
      <c r="C48" s="325"/>
      <c r="D48" s="325" t="e">
        <f>C47-D47</f>
        <v>#DIV/0!</v>
      </c>
      <c r="E48" s="87"/>
      <c r="F48" s="87"/>
      <c r="G48" s="324" t="s">
        <v>1347</v>
      </c>
      <c r="H48" s="321" t="s">
        <v>842</v>
      </c>
      <c r="I48" s="325"/>
      <c r="J48" s="325" t="e">
        <f>I47-J47</f>
        <v>#DIV/0!</v>
      </c>
      <c r="K48" s="325"/>
      <c r="L48" s="325" t="e">
        <f>K47-L47</f>
        <v>#DIV/0!</v>
      </c>
      <c r="M48" s="325"/>
      <c r="N48" s="325" t="e">
        <f>M47-N47</f>
        <v>#DIV/0!</v>
      </c>
      <c r="O48" s="325"/>
      <c r="P48" s="325" t="e">
        <f>O47-P47</f>
        <v>#DIV/0!</v>
      </c>
      <c r="Q48" s="325"/>
      <c r="R48" s="325" t="e">
        <f>Q47-R47</f>
        <v>#DIV/0!</v>
      </c>
      <c r="S48" s="325"/>
      <c r="T48" s="325" t="e">
        <f>S47-T47</f>
        <v>#DIV/0!</v>
      </c>
      <c r="U48" s="325"/>
      <c r="V48" s="325" t="e">
        <f>U47-V47</f>
        <v>#DIV/0!</v>
      </c>
      <c r="W48" s="325"/>
      <c r="X48" s="325" t="e">
        <f>W47-X47</f>
        <v>#DIV/0!</v>
      </c>
      <c r="Y48" s="325"/>
      <c r="Z48" s="325" t="e">
        <f>Y47-Z47</f>
        <v>#DIV/0!</v>
      </c>
      <c r="AA48" s="325"/>
      <c r="AB48" s="325" t="e">
        <f>AA47-AB47</f>
        <v>#DIV/0!</v>
      </c>
      <c r="AC48" s="325"/>
      <c r="AD48" s="325" t="e">
        <f>AC47-AD47</f>
        <v>#DIV/0!</v>
      </c>
      <c r="AE48" s="325"/>
      <c r="AF48" s="325" t="e">
        <f>AE47-AF47</f>
        <v>#DIV/0!</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
      <c r="A49" s="324" t="s">
        <v>874</v>
      </c>
      <c r="B49" s="326" t="s">
        <v>1181</v>
      </c>
      <c r="C49" s="327"/>
      <c r="D49" s="327" t="e">
        <f>IF(C47=0,0,D48/C47)</f>
        <v>#DIV/0!</v>
      </c>
      <c r="E49" s="87"/>
      <c r="F49" s="87"/>
      <c r="G49" s="324" t="s">
        <v>874</v>
      </c>
      <c r="H49" s="326" t="s">
        <v>1181</v>
      </c>
      <c r="I49" s="327"/>
      <c r="J49" s="327" t="e">
        <f>IF(I47=0,0,J48/I47)</f>
        <v>#DIV/0!</v>
      </c>
      <c r="K49" s="327"/>
      <c r="L49" s="327" t="e">
        <f>IF(K47=0,0,L48/K47)</f>
        <v>#DIV/0!</v>
      </c>
      <c r="M49" s="327"/>
      <c r="N49" s="327" t="e">
        <f>IF(M47=0,0,N48/M47)</f>
        <v>#DIV/0!</v>
      </c>
      <c r="O49" s="327"/>
      <c r="P49" s="327" t="e">
        <f>IF(O47=0,0,P48/O47)</f>
        <v>#DIV/0!</v>
      </c>
      <c r="Q49" s="327"/>
      <c r="R49" s="327">
        <f>IF(Q47=0,0,R48/Q47)</f>
        <v>0</v>
      </c>
      <c r="S49" s="327"/>
      <c r="T49" s="327">
        <f>IF(S47=0,0,T48/S47)</f>
        <v>0</v>
      </c>
      <c r="U49" s="327"/>
      <c r="V49" s="327">
        <f>IF(U47=0,0,V48/U47)</f>
        <v>0</v>
      </c>
      <c r="W49" s="327"/>
      <c r="X49" s="327">
        <f>IF(W47=0,0,X48/W47)</f>
        <v>0</v>
      </c>
      <c r="Y49" s="327"/>
      <c r="Z49" s="327">
        <f>IF(Y47=0,0,Z48/Y47)</f>
        <v>0</v>
      </c>
      <c r="AA49" s="327"/>
      <c r="AB49" s="327" t="e">
        <f>IF(AA47=0,0,AB48/AA47)</f>
        <v>#DIV/0!</v>
      </c>
      <c r="AC49" s="327"/>
      <c r="AD49" s="327" t="e">
        <f>IF(AC47=0,0,AD48/AC47)</f>
        <v>#DIV/0!</v>
      </c>
      <c r="AE49" s="327"/>
      <c r="AF49" s="327" t="e">
        <f>IF(AE47=0,0,AF48/AE47)</f>
        <v>#DIV/0!</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25">
      <c r="A50" s="349" t="s">
        <v>1609</v>
      </c>
      <c r="B50" s="339" t="s">
        <v>842</v>
      </c>
      <c r="C50" s="340" t="e">
        <f>'Расчет базового уровня'!D50</f>
        <v>#N/A</v>
      </c>
      <c r="D50" s="350" t="e">
        <f>IF(IF(C137=0,0,B137/C137*D137)*0.024*$D$147&gt;C50,C50,IF(C137=0,0,B137/C137*D137)*0.024*$D$147)</f>
        <v>#VALUE!</v>
      </c>
      <c r="E50" s="87"/>
      <c r="F50" s="87"/>
      <c r="G50" s="349" t="s">
        <v>1609</v>
      </c>
      <c r="H50" s="343" t="s">
        <v>842</v>
      </c>
      <c r="I50" s="340" t="e">
        <f>'Расчет базового уровня'!J50</f>
        <v>#N/A</v>
      </c>
      <c r="J50" s="352" t="e">
        <f>IF($C137=0,0,MIN($B137/$C137*$D137*0.024*$G$147,I50))</f>
        <v>#N/A</v>
      </c>
      <c r="K50" s="340" t="e">
        <f>'Расчет базового уровня'!M50</f>
        <v>#N/A</v>
      </c>
      <c r="L50" s="352" t="e">
        <f>IF($C137=0,0,MIN($B137/$C137*$D137*0.024*$H$147,K50))</f>
        <v>#N/A</v>
      </c>
      <c r="M50" s="340" t="e">
        <f>'Расчет базового уровня'!P50</f>
        <v>#N/A</v>
      </c>
      <c r="N50" s="352" t="e">
        <f>IF($C137=0,0,MIN($B137/$C137*$D137*0.024*$I$147,M50))</f>
        <v>#N/A</v>
      </c>
      <c r="O50" s="340" t="e">
        <f>'Расчет базового уровня'!S50</f>
        <v>#N/A</v>
      </c>
      <c r="P50" s="352" t="e">
        <f>IF($C137=0,0,MIN($B137/$C137*$D137*0.024*$J$147,O50))</f>
        <v>#N/A</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t="e">
        <f>'Расчет базового уровня'!AK50</f>
        <v>#N/A</v>
      </c>
      <c r="AB50" s="352" t="e">
        <f>IF($C137=0,0,MIN($B137/$C137*$D137*0.024*$P$147,AA50))</f>
        <v>#N/A</v>
      </c>
      <c r="AC50" s="340" t="e">
        <f>'Расчет базового уровня'!AN50</f>
        <v>#N/A</v>
      </c>
      <c r="AD50" s="352" t="e">
        <f>IF($C137=0,0,MIN($B137/$C137*$D137*0.024*$Q$147,AC50))</f>
        <v>#N/A</v>
      </c>
      <c r="AE50" s="340" t="e">
        <f>'Расчет базового уровня'!AQ50</f>
        <v>#N/A</v>
      </c>
      <c r="AF50" s="352" t="e">
        <f>IF($C137=0,0,MIN($B137/$C137*$D137*0.024*$R$147,AE50))</f>
        <v>#N/A</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25">
      <c r="A51" s="324" t="s">
        <v>1347</v>
      </c>
      <c r="B51" s="321" t="s">
        <v>842</v>
      </c>
      <c r="C51" s="325"/>
      <c r="D51" s="325" t="e">
        <f>C50-D50</f>
        <v>#N/A</v>
      </c>
      <c r="E51" s="87"/>
      <c r="F51" s="87"/>
      <c r="G51" s="324" t="s">
        <v>1347</v>
      </c>
      <c r="H51" s="321" t="s">
        <v>842</v>
      </c>
      <c r="I51" s="325"/>
      <c r="J51" s="325" t="e">
        <f>I50-J50</f>
        <v>#N/A</v>
      </c>
      <c r="K51" s="325"/>
      <c r="L51" s="325" t="e">
        <f>K50-L50</f>
        <v>#N/A</v>
      </c>
      <c r="M51" s="325"/>
      <c r="N51" s="325" t="e">
        <f>M50-N50</f>
        <v>#N/A</v>
      </c>
      <c r="O51" s="325"/>
      <c r="P51" s="325" t="e">
        <f>O50-P50</f>
        <v>#N/A</v>
      </c>
      <c r="Q51" s="325"/>
      <c r="R51" s="325">
        <f>Q50-R50</f>
        <v>0</v>
      </c>
      <c r="S51" s="325"/>
      <c r="T51" s="325">
        <f>S50-T50</f>
        <v>0</v>
      </c>
      <c r="U51" s="325"/>
      <c r="V51" s="325">
        <f>U50-V50</f>
        <v>0</v>
      </c>
      <c r="W51" s="325"/>
      <c r="X51" s="325">
        <f>W50-X50</f>
        <v>0</v>
      </c>
      <c r="Y51" s="325"/>
      <c r="Z51" s="325">
        <f>Y50-Z50</f>
        <v>0</v>
      </c>
      <c r="AA51" s="325"/>
      <c r="AB51" s="325" t="e">
        <f>AA50-AB50</f>
        <v>#N/A</v>
      </c>
      <c r="AC51" s="325"/>
      <c r="AD51" s="325" t="e">
        <f>AC50-AD50</f>
        <v>#N/A</v>
      </c>
      <c r="AE51" s="325"/>
      <c r="AF51" s="325" t="e">
        <f>AE50-AF50</f>
        <v>#N/A</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
      <c r="A52" s="324" t="s">
        <v>874</v>
      </c>
      <c r="B52" s="326" t="s">
        <v>1181</v>
      </c>
      <c r="C52" s="327"/>
      <c r="D52" s="327" t="e">
        <f>IF(C50=0,0,D51/C50)</f>
        <v>#N/A</v>
      </c>
      <c r="E52" s="87"/>
      <c r="F52" s="87"/>
      <c r="G52" s="324" t="s">
        <v>874</v>
      </c>
      <c r="H52" s="326" t="s">
        <v>1181</v>
      </c>
      <c r="I52" s="327"/>
      <c r="J52" s="327" t="e">
        <f>IF(I50=0,0,J51/I50)</f>
        <v>#N/A</v>
      </c>
      <c r="K52" s="327"/>
      <c r="L52" s="327" t="e">
        <f>IF(K50=0,0,L51/K50)</f>
        <v>#N/A</v>
      </c>
      <c r="M52" s="327"/>
      <c r="N52" s="327" t="e">
        <f>IF(M50=0,0,N51/M50)</f>
        <v>#N/A</v>
      </c>
      <c r="O52" s="327"/>
      <c r="P52" s="327" t="e">
        <f>IF(O50=0,0,P51/O50)</f>
        <v>#N/A</v>
      </c>
      <c r="Q52" s="327"/>
      <c r="R52" s="327">
        <f>IF(Q50=0,0,R51/Q50)</f>
        <v>0</v>
      </c>
      <c r="S52" s="327"/>
      <c r="T52" s="327">
        <f>IF(S50=0,0,T51/S50)</f>
        <v>0</v>
      </c>
      <c r="U52" s="327"/>
      <c r="V52" s="327">
        <f>IF(U50=0,0,V51/U50)</f>
        <v>0</v>
      </c>
      <c r="W52" s="327"/>
      <c r="X52" s="327">
        <f>IF(W50=0,0,X51/W50)</f>
        <v>0</v>
      </c>
      <c r="Y52" s="327"/>
      <c r="Z52" s="327">
        <f>IF(Y50=0,0,Z51/Y50)</f>
        <v>0</v>
      </c>
      <c r="AA52" s="327"/>
      <c r="AB52" s="327" t="e">
        <f>IF(AA50=0,0,AB51/AA50)</f>
        <v>#N/A</v>
      </c>
      <c r="AC52" s="327"/>
      <c r="AD52" s="327" t="e">
        <f>IF(AC50=0,0,AD51/AC50)</f>
        <v>#N/A</v>
      </c>
      <c r="AE52" s="327"/>
      <c r="AF52" s="327" t="e">
        <f>IF(AE50=0,0,AF51/AE50)</f>
        <v>#N/A</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25">
      <c r="A53" s="349" t="s">
        <v>1203</v>
      </c>
      <c r="B53" s="339" t="s">
        <v>842</v>
      </c>
      <c r="C53" s="340" t="e">
        <f>'Расчет базового уровня'!D53</f>
        <v>#N/A</v>
      </c>
      <c r="D53" s="350" t="e">
        <f>IF((IF(C138=0,0,B138/C138*D138)+IF(C139=0,0,B139/C139*D139)+IF(C140=0,0,B140/C140*D140))*0.024*$D$147&gt;C53,C53,(IF(C138=0,0,B138/C138*D138)+IF(C139=0,0,B139/C139*D139)+IF(C140=0,0,B140/C140*D140))*0.024*$D$147)</f>
        <v>#N/A</v>
      </c>
      <c r="E53" s="87"/>
      <c r="F53" s="87"/>
      <c r="G53" s="351" t="s">
        <v>1203</v>
      </c>
      <c r="H53" s="343" t="s">
        <v>842</v>
      </c>
      <c r="I53" s="340" t="e">
        <f>'Расчет базового уровня'!J53</f>
        <v>#N/A</v>
      </c>
      <c r="J53" s="352" t="e">
        <f>IF((IF(C138=0,0,B138/C138*D138)+IF(C139=0,0,B139/C139*D139)+IF(C140=0,0,B140/C140*D140))*0.024*G$147&gt;I53,I53,(IF(C138=0,0,B138/C138*D138)+IF(C139=0,0,B139/C139*D139)+IF(C140=0,0,B140/C140*D140))*0.024*G$147)</f>
        <v>#N/A</v>
      </c>
      <c r="K53" s="340" t="e">
        <f>'Расчет базового уровня'!M53</f>
        <v>#N/A</v>
      </c>
      <c r="L53" s="352" t="e">
        <f>IF((IF($C$138=0,0,$B$138/$C$138*$D$138)+IF($C$139=0,0,$B$139/$C$139*$D$139)+IF($C$140=0,0,$B$140/$C$140*$D$140))*0.024*$H$147&gt;K53,K53,(IF($C$138=0,0,$B$138/$C$138*$D$138)+IF($C$139=0,0,$B$139/$C$139*$D$139)+IF($C$140=0,0,$B$140/$C$140*$D$140))*0.024*$H$147)</f>
        <v>#N/A</v>
      </c>
      <c r="M53" s="340" t="e">
        <f>'Расчет базового уровня'!P53</f>
        <v>#N/A</v>
      </c>
      <c r="N53" s="352" t="e">
        <f>IF((IF($C$138=0,0,$B$138/$C$138*$D$138)+IF($C$139=0,0,$B$139/$C$139*$D$139)+IF($C$140=0,0,$B$140/$C$140*$D$140))*0.024*$I$147&gt;M53,M53,(IF($C$138=0,0,$B$138/$C$138*$D$138)+IF($C$139=0,0,$B$139/$C$139*$D$139)+IF($C$140=0,0,$B$140/$C$140*$D$140))*0.024*$I$147)</f>
        <v>#N/A</v>
      </c>
      <c r="O53" s="340" t="e">
        <f>'Расчет базового уровня'!S53</f>
        <v>#N/A</v>
      </c>
      <c r="P53" s="352" t="e">
        <f>IF((IF($C$138=0,0,$B$138/$C$138*$D$138)+IF($C$139=0,0,$B$139/$C$139*$D$139)+IF($C$140=0,0,$B$140/$C$140*$D$140))*0.024*$J$147&gt;O53,O53,(IF($C$138=0,0,$B$138/$C$138*$D$138)+IF($C$139=0,0,$B$139/$C$139*$D$139)+IF($C$140=0,0,$B$140/$C$140*$D$140))*0.024*$J$147)</f>
        <v>#N/A</v>
      </c>
      <c r="Q53" s="340">
        <f>'Расчет базового уровня'!V53</f>
        <v>0</v>
      </c>
      <c r="R53" s="352" t="e">
        <f>IF((IF($C$138=0,0,$B$138/$C$138*$D$138)+IF($C$139=0,0,$B$139/$C$139*$D$139)+IF($C$140=0,0,$B$140/$C$140*$D$140))*0.024*$K$147&gt;Q53,Q53,(IF($C$138=0,0,$B$138/$C$138*$D$138)+IF($C$139=0,0,$B$139/$C$139*$D$139)+IF($C$140=0,0,$B$140/$C$140*$D$140))*0.024*$K$147)</f>
        <v>#N/A</v>
      </c>
      <c r="S53" s="340">
        <f>'Расчет базового уровня'!Y53</f>
        <v>0</v>
      </c>
      <c r="T53" s="352" t="e">
        <f>IF((IF($C$138=0,0,$B$138/$C$138*$D$138)+IF($C$139=0,0,$B$139/$C$139*$D$139)+IF($C$140=0,0,$B$140/$C$140*$D$140))*0.024*$L$147&gt;S53,S53,(IF($C$138=0,0,$B$138/$C$138*$D$138)+IF($C$139=0,0,$B$139/$C$139*$D$139)+IF($C$140=0,0,$B$140/$C$140*$D$140))*0.024*$L$147)</f>
        <v>#N/A</v>
      </c>
      <c r="U53" s="340">
        <f>'Расчет базового уровня'!AB53</f>
        <v>0</v>
      </c>
      <c r="V53" s="352" t="e">
        <f>IF((IF($C$138=0,0,$B$138/$C$138*$D$138)+IF($C$139=0,0,$B$139/$C$139*$D$139)+IF($C$140=0,0,$B$140/$C$140*$D$140))*0.024*$M$147&gt;U53,U53,(IF($C$138=0,0,$B$138/$C$138*$D$138)+IF($C$139=0,0,$B$139/$C$139*$D$139)+IF($C$140=0,0,$B$140/$C$140*$D$140))*0.024*$M$147)</f>
        <v>#N/A</v>
      </c>
      <c r="W53" s="340">
        <f>'Расчет базового уровня'!AE53</f>
        <v>0</v>
      </c>
      <c r="X53" s="352" t="e">
        <f>IF((IF($C$138=0,0,$B$138/$C$138*$D$138)+IF($C$139=0,0,$B$139/$C$139*$D$139)+IF($C$140=0,0,$B$140/$C$140*$D$140))*0.024*$N$147&gt;W53,W53,(IF($C$138=0,0,$B$138/$C$138*$D$138)+IF($C$139=0,0,$B$139/$C$139*$D$139)+IF($C$140=0,0,$B$140/$C$140*$D$140))*0.024*$N$147)</f>
        <v>#N/A</v>
      </c>
      <c r="Y53" s="340">
        <f>'Расчет базового уровня'!AH53</f>
        <v>0</v>
      </c>
      <c r="Z53" s="352" t="e">
        <f>IF((IF($C$138=0,0,$B$138/$C$138*$D$138)+IF($C$139=0,0,$B$139/$C$139*$D$139)+IF($C$140=0,0,$B$140/$C$140*$D$140))*0.024*$O$147&gt;Y53,Y53,(IF($C$138=0,0,$B$138/$C$138*$D$138)+IF($C$139=0,0,$B$139/$C$139*$D$139)+IF($C$140=0,0,$B$140/$C$140*$D$140))*0.024*$O$147)</f>
        <v>#N/A</v>
      </c>
      <c r="AA53" s="340" t="e">
        <f>'Расчет базового уровня'!AK53</f>
        <v>#N/A</v>
      </c>
      <c r="AB53" s="352" t="e">
        <f>IF((IF($C$138=0,0,$B$138/$C$138*$D$138)+IF($C$139=0,0,$B$139/$C$139*$D$139)+IF($C$140=0,0,$B$140/$C$140*$D$140))*0.024*$P$147&gt;AA53,AA53,(IF($C$138=0,0,$B$138/$C$138*$D$138)+IF($C$139=0,0,$B$139/$C$139*$D$139)+IF($C$140=0,0,$B$140/$C$140*$D$140))*0.024*$P$147)</f>
        <v>#N/A</v>
      </c>
      <c r="AC53" s="340" t="e">
        <f>'Расчет базового уровня'!AN53</f>
        <v>#N/A</v>
      </c>
      <c r="AD53" s="352" t="e">
        <f>IF((IF($C$138=0,0,$B$138/$C$138*$D$138)+IF($C$139=0,0,$B$139/$C$139*$D$139)+IF($C$140=0,0,$B$140/$C$140*$D$140))*0.024*$Q$147&gt;AC53,AC53,(IF($C$138=0,0,$B$138/$C$138*$D$138)+IF($C$139=0,0,$B$139/$C$139*$D$139)+IF($C$140=0,0,$B$140/$C$140*$D$140))*0.024*$Q$147)</f>
        <v>#N/A</v>
      </c>
      <c r="AE53" s="340" t="e">
        <f>'Расчет базового уровня'!AQ53</f>
        <v>#N/A</v>
      </c>
      <c r="AF53" s="352" t="e">
        <f>IF((IF($C$138=0,0,$B$138/$C$138*$D$138)+IF($C$139=0,0,$B$139/$C$139*$D$139)+IF($C$140=0,0,$B$140/$C$140*$D$140))*0.024*$R$147&gt;AE53,AE53,(IF($C$138=0,0,$B$138/$C$138*$D$138)+IF($C$139=0,0,$B$139/$C$139*$D$139)+IF($C$140=0,0,$B$140/$C$140*$D$140))*0.024*$R$147)</f>
        <v>#N/A</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25">
      <c r="A54" s="324" t="s">
        <v>1347</v>
      </c>
      <c r="B54" s="321" t="s">
        <v>842</v>
      </c>
      <c r="C54" s="325"/>
      <c r="D54" s="325" t="e">
        <f>C53-D53</f>
        <v>#N/A</v>
      </c>
      <c r="E54" s="87"/>
      <c r="F54" s="87"/>
      <c r="G54" s="324" t="s">
        <v>1347</v>
      </c>
      <c r="H54" s="321" t="s">
        <v>842</v>
      </c>
      <c r="I54" s="325"/>
      <c r="J54" s="325" t="e">
        <f>I53-J53</f>
        <v>#N/A</v>
      </c>
      <c r="K54" s="325"/>
      <c r="L54" s="325" t="e">
        <f>K53-L53</f>
        <v>#N/A</v>
      </c>
      <c r="M54" s="325"/>
      <c r="N54" s="325" t="e">
        <f>M53-N53</f>
        <v>#N/A</v>
      </c>
      <c r="O54" s="325"/>
      <c r="P54" s="325" t="e">
        <f>O53-P53</f>
        <v>#N/A</v>
      </c>
      <c r="Q54" s="325"/>
      <c r="R54" s="325" t="e">
        <f>Q53-R53</f>
        <v>#N/A</v>
      </c>
      <c r="S54" s="325"/>
      <c r="T54" s="325" t="e">
        <f>S53-T53</f>
        <v>#N/A</v>
      </c>
      <c r="U54" s="325"/>
      <c r="V54" s="325" t="e">
        <f>U53-V53</f>
        <v>#N/A</v>
      </c>
      <c r="W54" s="325"/>
      <c r="X54" s="325" t="e">
        <f>W53-X53</f>
        <v>#N/A</v>
      </c>
      <c r="Y54" s="325"/>
      <c r="Z54" s="325" t="e">
        <f>Y53-Z53</f>
        <v>#N/A</v>
      </c>
      <c r="AA54" s="325"/>
      <c r="AB54" s="325" t="e">
        <f>AA53-AB53</f>
        <v>#N/A</v>
      </c>
      <c r="AC54" s="325"/>
      <c r="AD54" s="325" t="e">
        <f>AC53-AD53</f>
        <v>#N/A</v>
      </c>
      <c r="AE54" s="325"/>
      <c r="AF54" s="325" t="e">
        <f>AE53-AF53</f>
        <v>#N/A</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75" thickBot="1" x14ac:dyDescent="0.3">
      <c r="A55" s="324" t="s">
        <v>874</v>
      </c>
      <c r="B55" s="326" t="s">
        <v>1181</v>
      </c>
      <c r="C55" s="327"/>
      <c r="D55" s="327" t="e">
        <f>IF(C53=0,0,D54/C53)</f>
        <v>#N/A</v>
      </c>
      <c r="E55" s="87"/>
      <c r="F55" s="87"/>
      <c r="G55" s="324" t="s">
        <v>874</v>
      </c>
      <c r="H55" s="326" t="s">
        <v>1181</v>
      </c>
      <c r="I55" s="327"/>
      <c r="J55" s="327" t="e">
        <f>IF(I53=0,0,J54/I53)</f>
        <v>#N/A</v>
      </c>
      <c r="K55" s="327"/>
      <c r="L55" s="327" t="e">
        <f>IF(K53=0,0,L54/K53)</f>
        <v>#N/A</v>
      </c>
      <c r="M55" s="327"/>
      <c r="N55" s="327" t="e">
        <f>IF(M53=0,0,N54/M53)</f>
        <v>#N/A</v>
      </c>
      <c r="O55" s="327"/>
      <c r="P55" s="327" t="e">
        <f>IF(O53=0,0,P54/O53)</f>
        <v>#N/A</v>
      </c>
      <c r="Q55" s="327"/>
      <c r="R55" s="327">
        <f>IF(Q53=0,0,R54/Q53)</f>
        <v>0</v>
      </c>
      <c r="S55" s="327"/>
      <c r="T55" s="327">
        <f>IF(S53=0,0,T54/S53)</f>
        <v>0</v>
      </c>
      <c r="U55" s="327"/>
      <c r="V55" s="327">
        <f>IF(U53=0,0,V54/U53)</f>
        <v>0</v>
      </c>
      <c r="W55" s="327"/>
      <c r="X55" s="327">
        <f>IF(W53=0,0,X54/W53)</f>
        <v>0</v>
      </c>
      <c r="Y55" s="327"/>
      <c r="Z55" s="327">
        <f>IF(Y53=0,0,Z54/Y53)</f>
        <v>0</v>
      </c>
      <c r="AA55" s="327"/>
      <c r="AB55" s="327" t="e">
        <f>IF(AA53=0,0,AB54/AA53)</f>
        <v>#N/A</v>
      </c>
      <c r="AC55" s="327"/>
      <c r="AD55" s="327" t="e">
        <f>IF(AC53=0,0,AD54/AC53)</f>
        <v>#N/A</v>
      </c>
      <c r="AE55" s="327"/>
      <c r="AF55" s="327" t="e">
        <f>IF(AE53=0,0,AF54/AE53)</f>
        <v>#N/A</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25">
      <c r="A56" s="349" t="s">
        <v>1204</v>
      </c>
      <c r="B56" s="339" t="s">
        <v>842</v>
      </c>
      <c r="C56" s="340" t="e">
        <f>'Расчет базового уровня'!D56</f>
        <v>#N/A</v>
      </c>
      <c r="D56" s="350" t="e">
        <f>IF((IF(C142=0,0,B142/C142*D142)+IF(C141=0,0,B141/C141*D141))*0.024*$D$147&gt;C56,C56,(IF(C142=0,0,B142/C142*D142)+IF(C141=0,0,B141/C141*D141))*0.024*$D$147)</f>
        <v>#N/A</v>
      </c>
      <c r="E56" s="87"/>
      <c r="F56" s="87"/>
      <c r="G56" s="351" t="s">
        <v>1204</v>
      </c>
      <c r="H56" s="343" t="s">
        <v>842</v>
      </c>
      <c r="I56" s="340" t="e">
        <f>'Расчет базового уровня'!J56</f>
        <v>#N/A</v>
      </c>
      <c r="J56" s="352" t="e">
        <f>IF((IF($C$142=0,0,$B$142/$C$142*$D$142)+IF($C$141=0,0,$B$141/$C$141*$D$141))*0.024*$G$147&gt;I56,I56,(IF($C$142=0,0,$B$142/$C$142*$D$142)+IF($C$141=0,0,$B$141/$C$141*$D$141))*0.024*$G$147)</f>
        <v>#N/A</v>
      </c>
      <c r="K56" s="340" t="e">
        <f>'Расчет базового уровня'!M56</f>
        <v>#N/A</v>
      </c>
      <c r="L56" s="352" t="e">
        <f>IF((IF($C$142=0,0,$B$142/$C$142*$D$142)+IF($C$141=0,0,$B$141/$C$141*$D$141))*0.024*$H$147&gt;K56,K56,(IF($C$142=0,0,$B$142/$C$142*$D$142)+IF($C$141=0,0,$B$141/$C$141*$D$141))*0.024*$H$147)</f>
        <v>#N/A</v>
      </c>
      <c r="M56" s="340" t="e">
        <f>'Расчет базового уровня'!P56</f>
        <v>#N/A</v>
      </c>
      <c r="N56" s="352" t="e">
        <f>IF((IF($C$142=0,0,$B$142/$C$142*$D$142)+IF($C$141=0,0,$B$141/$C$141*$D$141))*0.024*$I$147&gt;M56,M56,(IF($C$142=0,0,$B$142/$C$142*$D$142)+IF($C$141=0,0,$B$141/$C$141*$D$141))*0.024*$I$147)</f>
        <v>#N/A</v>
      </c>
      <c r="O56" s="340" t="e">
        <f>'Расчет базового уровня'!S56</f>
        <v>#N/A</v>
      </c>
      <c r="P56" s="352" t="e">
        <f>IF((IF($C$142=0,0,$B$142/$C$142*$D$142)+IF($C$141=0,0,$B$141/$C$141*$D$141))*0.024*$J$147&gt;O56,O56,(IF($C$142=0,0,$B$142/$C$142*$D$142)+IF($C$141=0,0,$B$141/$C$141*$D$141))*0.024*$J$147)</f>
        <v>#N/A</v>
      </c>
      <c r="Q56" s="340">
        <f>'Расчет базового уровня'!V56</f>
        <v>0</v>
      </c>
      <c r="R56" s="352" t="e">
        <f>IF((IF($C$142=0,0,$B$142/$C$142*$D$142)+IF($C$141=0,0,$B$141/$C$141*$D$141))*0.024*$K$147&gt;Q56,Q56,(IF($C$142=0,0,$B$142/$C$142*$D$142)+IF($C$141=0,0,$B$141/$C$141*$D$141))*0.024*$K$147)</f>
        <v>#N/A</v>
      </c>
      <c r="S56" s="340">
        <f>'Расчет базового уровня'!Y56</f>
        <v>0</v>
      </c>
      <c r="T56" s="352" t="e">
        <f>IF((IF($C$142=0,0,$B$142/$C$142*$D$142)+IF($C$141=0,0,$B$141/$C$141*$D$141))*0.024*$L$147&gt;S56,S56,(IF($C$142=0,0,$B$142/$C$142*$D$142)+IF($C$141=0,0,$B$141/$C$141*$D$141))*0.024*$L$147)</f>
        <v>#N/A</v>
      </c>
      <c r="U56" s="340">
        <f>'Расчет базового уровня'!AB56</f>
        <v>0</v>
      </c>
      <c r="V56" s="352" t="e">
        <f>IF((IF($C$142=0,0,$B$142/$C$142*$D$142)+IF($C$141=0,0,$B$141/$C$141*$D$141))*0.024*$M$147&gt;U56,U56,(IF($C$142=0,0,$B$142/$C$142*$D$142)+IF($C$141=0,0,$B$141/$C$141*$D$141))*0.024*$M$147)</f>
        <v>#N/A</v>
      </c>
      <c r="W56" s="340">
        <f>'Расчет базового уровня'!AE56</f>
        <v>0</v>
      </c>
      <c r="X56" s="352" t="e">
        <f>IF((IF($C$142=0,0,$B$142/$C$142*$D$142)+IF($C$141=0,0,$B$141/$C$141*$D$141))*0.024*$N$147&gt;W56,W56,(IF($C$142=0,0,$B$142/$C$142*$D$142)+IF($C$141=0,0,$B$141/$C$141*$D$141))*0.024*$N$147)</f>
        <v>#N/A</v>
      </c>
      <c r="Y56" s="340">
        <f>'Расчет базового уровня'!AH56</f>
        <v>0</v>
      </c>
      <c r="Z56" s="352" t="e">
        <f>IF((IF($C$142=0,0,$B$142/$C$142*$D$142)+IF($C$141=0,0,$B$141/$C$141*$D$141))*0.024*$O$147&gt;Y56,Y56,(IF($C$142=0,0,$B$142/$C$142*$D$142)+IF($C$141=0,0,$B$141/$C$141*$D$141))*0.024*$O$147)</f>
        <v>#N/A</v>
      </c>
      <c r="AA56" s="340" t="e">
        <f>'Расчет базового уровня'!AK56</f>
        <v>#N/A</v>
      </c>
      <c r="AB56" s="352" t="e">
        <f>IF((IF($C$142=0,0,$B$142/$C$142*$D$142)+IF($C$141=0,0,$B$141/$C$141*$D$141))*0.024*$P$147&gt;AA56,AA56,(IF($C$142=0,0,$B$142/$C$142*$D$142)+IF($C$141=0,0,$B$141/$C$141*$D$141))*0.024*$P$147)</f>
        <v>#N/A</v>
      </c>
      <c r="AC56" s="340" t="e">
        <f>'Расчет базового уровня'!AN56</f>
        <v>#N/A</v>
      </c>
      <c r="AD56" s="352" t="e">
        <f>IF((IF($C$142=0,0,$B$142/$C$142*$D$142)+IF($C$141=0,0,$B$141/$C$141*$D$141))*0.024*$Q$147&gt;AC56,AC56,(IF($C$142=0,0,$B$142/$C$142*$D$142)+IF($C$141=0,0,$B$141/$C$141*$D$141))*0.024*$Q$147)</f>
        <v>#N/A</v>
      </c>
      <c r="AE56" s="340" t="e">
        <f>'Расчет базового уровня'!AQ56</f>
        <v>#N/A</v>
      </c>
      <c r="AF56" s="352" t="e">
        <f>IF((IF($C$142=0,0,$B$142/$C$142*$D$142)+IF($C$141=0,0,$B$141/$C$141*$D$141))*0.024*$R$147&gt;AE56,AE56,(IF($C$142=0,0,$B$142/$C$142*$D$142)+IF($C$141=0,0,$B$141/$C$141*$D$141))*0.024*$R$147)</f>
        <v>#N/A</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25">
      <c r="A57" s="324" t="s">
        <v>1347</v>
      </c>
      <c r="B57" s="321" t="s">
        <v>842</v>
      </c>
      <c r="C57" s="325"/>
      <c r="D57" s="325" t="e">
        <f>C56-D56</f>
        <v>#N/A</v>
      </c>
      <c r="E57" s="87"/>
      <c r="F57" s="87"/>
      <c r="G57" s="324" t="s">
        <v>1347</v>
      </c>
      <c r="H57" s="321" t="s">
        <v>842</v>
      </c>
      <c r="I57" s="325"/>
      <c r="J57" s="325" t="e">
        <f>I56-J56</f>
        <v>#N/A</v>
      </c>
      <c r="K57" s="325"/>
      <c r="L57" s="325" t="e">
        <f>K56-L56</f>
        <v>#N/A</v>
      </c>
      <c r="M57" s="325"/>
      <c r="N57" s="325" t="e">
        <f>M56-N56</f>
        <v>#N/A</v>
      </c>
      <c r="O57" s="325"/>
      <c r="P57" s="325" t="e">
        <f>O56-P56</f>
        <v>#N/A</v>
      </c>
      <c r="Q57" s="325"/>
      <c r="R57" s="325" t="e">
        <f>Q56-R56</f>
        <v>#N/A</v>
      </c>
      <c r="S57" s="325"/>
      <c r="T57" s="325" t="e">
        <f>S56-T56</f>
        <v>#N/A</v>
      </c>
      <c r="U57" s="325"/>
      <c r="V57" s="325" t="e">
        <f>U56-V56</f>
        <v>#N/A</v>
      </c>
      <c r="W57" s="325"/>
      <c r="X57" s="325" t="e">
        <f>W56-X56</f>
        <v>#N/A</v>
      </c>
      <c r="Y57" s="325"/>
      <c r="Z57" s="325" t="e">
        <f>Y56-Z56</f>
        <v>#N/A</v>
      </c>
      <c r="AA57" s="325"/>
      <c r="AB57" s="325" t="e">
        <f>AA56-AB56</f>
        <v>#N/A</v>
      </c>
      <c r="AC57" s="325"/>
      <c r="AD57" s="325" t="e">
        <f>AC56-AD56</f>
        <v>#N/A</v>
      </c>
      <c r="AE57" s="325"/>
      <c r="AF57" s="325" t="e">
        <f>AE56-AF56</f>
        <v>#N/A</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75" thickBot="1" x14ac:dyDescent="0.3">
      <c r="A58" s="324" t="s">
        <v>874</v>
      </c>
      <c r="B58" s="326" t="s">
        <v>1181</v>
      </c>
      <c r="C58" s="327"/>
      <c r="D58" s="327" t="e">
        <f>IF(C56=0,0,D57/C56)</f>
        <v>#N/A</v>
      </c>
      <c r="E58" s="87"/>
      <c r="F58" s="87"/>
      <c r="G58" s="324" t="s">
        <v>874</v>
      </c>
      <c r="H58" s="326" t="s">
        <v>1181</v>
      </c>
      <c r="I58" s="327"/>
      <c r="J58" s="327" t="e">
        <f>IF(I56=0,0,J57/I56)</f>
        <v>#N/A</v>
      </c>
      <c r="K58" s="327"/>
      <c r="L58" s="327" t="e">
        <f>IF(K56=0,0,L57/K56)</f>
        <v>#N/A</v>
      </c>
      <c r="M58" s="327"/>
      <c r="N58" s="327" t="e">
        <f>IF(M56=0,0,N57/M56)</f>
        <v>#N/A</v>
      </c>
      <c r="O58" s="327"/>
      <c r="P58" s="327" t="e">
        <f>IF(O56=0,0,P57/O56)</f>
        <v>#N/A</v>
      </c>
      <c r="Q58" s="327"/>
      <c r="R58" s="327">
        <f>IF(Q56=0,0,R57/Q56)</f>
        <v>0</v>
      </c>
      <c r="S58" s="327"/>
      <c r="T58" s="327">
        <f>IF(S56=0,0,T57/S56)</f>
        <v>0</v>
      </c>
      <c r="U58" s="327"/>
      <c r="V58" s="327">
        <f>IF(U56=0,0,V57/U56)</f>
        <v>0</v>
      </c>
      <c r="W58" s="327"/>
      <c r="X58" s="327">
        <f>IF(W56=0,0,X57/W56)</f>
        <v>0</v>
      </c>
      <c r="Y58" s="327"/>
      <c r="Z58" s="327">
        <f>IF(Y56=0,0,Z57/Y56)</f>
        <v>0</v>
      </c>
      <c r="AA58" s="327"/>
      <c r="AB58" s="327" t="e">
        <f>IF(AA56=0,0,AB57/AA56)</f>
        <v>#N/A</v>
      </c>
      <c r="AC58" s="327"/>
      <c r="AD58" s="327" t="e">
        <f>IF(AC56=0,0,AD57/AC56)</f>
        <v>#N/A</v>
      </c>
      <c r="AE58" s="327"/>
      <c r="AF58" s="327" t="e">
        <f>IF(AE56=0,0,AF57/AE56)</f>
        <v>#N/A</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25">
      <c r="A59" s="349" t="s">
        <v>1205</v>
      </c>
      <c r="B59" s="339" t="s">
        <v>842</v>
      </c>
      <c r="C59" s="340" t="e">
        <f>'Расчет базового уровня'!D59</f>
        <v>#N/A</v>
      </c>
      <c r="D59" s="359" t="e">
        <f>IF(IF(C143=0,0,B143/C143*D143)*0.024*$D$147&gt;C59,C59,IF(C143=0,0,B143/C143*D143)*0.024*$D$147)</f>
        <v>#VALUE!</v>
      </c>
      <c r="E59" s="87"/>
      <c r="F59" s="87"/>
      <c r="G59" s="351" t="s">
        <v>1205</v>
      </c>
      <c r="H59" s="343" t="s">
        <v>842</v>
      </c>
      <c r="I59" s="340" t="e">
        <f>'Расчет базового уровня'!J59</f>
        <v>#N/A</v>
      </c>
      <c r="J59" s="360" t="e">
        <f>IF($C143=0,0,MIN($B143/$C143*$D143*0.024*$G$147,I59))</f>
        <v>#N/A</v>
      </c>
      <c r="K59" s="340" t="e">
        <f>'Расчет базового уровня'!M59</f>
        <v>#N/A</v>
      </c>
      <c r="L59" s="360" t="e">
        <f>IF($C143=0,0,MIN($B143/$C143*$D143*0.024*$H$147,K59))</f>
        <v>#N/A</v>
      </c>
      <c r="M59" s="340" t="e">
        <f>'Расчет базового уровня'!P59</f>
        <v>#N/A</v>
      </c>
      <c r="N59" s="360" t="e">
        <f>IF($C143=0,0,MIN($B143/$C143*$D143*0.024*$I$147,M59))</f>
        <v>#N/A</v>
      </c>
      <c r="O59" s="340" t="e">
        <f>'Расчет базового уровня'!S59</f>
        <v>#N/A</v>
      </c>
      <c r="P59" s="360" t="e">
        <f>IF($C143=0,0,MIN($B143/$C143*$D143*0.024*$J$147,O59))</f>
        <v>#N/A</v>
      </c>
      <c r="Q59" s="340">
        <f>'Расчет базового уровня'!V59</f>
        <v>0</v>
      </c>
      <c r="R59" s="360">
        <f>IF($C143=0,0,MIN($B143/$C143*$D143*0.024*$K$147,Q59))</f>
        <v>0</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0</v>
      </c>
      <c r="Z59" s="360">
        <f>IF($C143=0,0,MIN($B143/$C143*$D143*0.024*$O$147,Y59))</f>
        <v>0</v>
      </c>
      <c r="AA59" s="340" t="e">
        <f>'Расчет базового уровня'!AK59</f>
        <v>#N/A</v>
      </c>
      <c r="AB59" s="360" t="e">
        <f>IF($C143=0,0,MIN($B143/$C143*$D143*0.024*$P$147,AA59))</f>
        <v>#N/A</v>
      </c>
      <c r="AC59" s="340" t="e">
        <f>'Расчет базового уровня'!AN59</f>
        <v>#N/A</v>
      </c>
      <c r="AD59" s="360" t="e">
        <f>IF($C143=0,0,MIN($B143/$C143*$D143*0.024*$Q$147,AC59))</f>
        <v>#N/A</v>
      </c>
      <c r="AE59" s="340" t="e">
        <f>'Расчет базового уровня'!AQ59</f>
        <v>#N/A</v>
      </c>
      <c r="AF59" s="360" t="e">
        <f>IF($C143=0,0,MIN($B143/$C143*$D143*0.024*$R$147,AE59))</f>
        <v>#N/A</v>
      </c>
      <c r="AG59" s="87"/>
      <c r="AH59" s="87"/>
      <c r="AI59" s="87"/>
      <c r="AJ59" s="87"/>
      <c r="AK59" s="87"/>
      <c r="AL59" s="87"/>
      <c r="AM59" s="87"/>
      <c r="AN59" s="87"/>
      <c r="AO59" s="87"/>
      <c r="AP59" s="87"/>
      <c r="AQ59" s="87"/>
      <c r="AR59" s="87"/>
      <c r="AS59" s="87"/>
      <c r="AT59" s="87"/>
      <c r="AU59" s="87"/>
    </row>
    <row r="60" spans="1:55" x14ac:dyDescent="0.25">
      <c r="A60" s="324" t="s">
        <v>1347</v>
      </c>
      <c r="B60" s="321" t="s">
        <v>842</v>
      </c>
      <c r="C60" s="325"/>
      <c r="D60" s="325" t="e">
        <f>C59-D59</f>
        <v>#N/A</v>
      </c>
      <c r="E60" s="87"/>
      <c r="F60" s="87"/>
      <c r="G60" s="324" t="s">
        <v>1347</v>
      </c>
      <c r="H60" s="321" t="s">
        <v>842</v>
      </c>
      <c r="I60" s="325"/>
      <c r="J60" s="325" t="e">
        <f>I59-J59</f>
        <v>#N/A</v>
      </c>
      <c r="K60" s="325"/>
      <c r="L60" s="325" t="e">
        <f>K59-L59</f>
        <v>#N/A</v>
      </c>
      <c r="M60" s="325"/>
      <c r="N60" s="325" t="e">
        <f>M59-N59</f>
        <v>#N/A</v>
      </c>
      <c r="O60" s="325"/>
      <c r="P60" s="325" t="e">
        <f>O59-P59</f>
        <v>#N/A</v>
      </c>
      <c r="Q60" s="325"/>
      <c r="R60" s="325">
        <f>Q59-R59</f>
        <v>0</v>
      </c>
      <c r="S60" s="325"/>
      <c r="T60" s="325">
        <f>S59-T59</f>
        <v>0</v>
      </c>
      <c r="U60" s="325"/>
      <c r="V60" s="325">
        <f>U59-V59</f>
        <v>0</v>
      </c>
      <c r="W60" s="325"/>
      <c r="X60" s="325">
        <f>W59-X59</f>
        <v>0</v>
      </c>
      <c r="Y60" s="325"/>
      <c r="Z60" s="325">
        <f>Y59-Z59</f>
        <v>0</v>
      </c>
      <c r="AA60" s="325"/>
      <c r="AB60" s="325" t="e">
        <f>AA59-AB59</f>
        <v>#N/A</v>
      </c>
      <c r="AC60" s="325"/>
      <c r="AD60" s="325" t="e">
        <f>AC59-AD59</f>
        <v>#N/A</v>
      </c>
      <c r="AE60" s="325"/>
      <c r="AF60" s="325" t="e">
        <f>AE59-AF59</f>
        <v>#N/A</v>
      </c>
      <c r="AG60" s="87"/>
      <c r="AH60" s="87"/>
      <c r="AI60" s="87"/>
      <c r="AJ60" s="87"/>
      <c r="AK60" s="87"/>
      <c r="AL60" s="87"/>
      <c r="AM60" s="87"/>
      <c r="AN60" s="87"/>
      <c r="AO60" s="87"/>
      <c r="AP60" s="87"/>
      <c r="AQ60" s="87"/>
      <c r="AR60" s="87"/>
      <c r="AS60" s="87"/>
      <c r="AT60" s="87"/>
      <c r="AU60" s="87"/>
    </row>
    <row r="61" spans="1:55" ht="15.75" thickBot="1" x14ac:dyDescent="0.3">
      <c r="A61" s="324" t="s">
        <v>874</v>
      </c>
      <c r="B61" s="326" t="s">
        <v>1181</v>
      </c>
      <c r="C61" s="327"/>
      <c r="D61" s="327" t="e">
        <f>IF(C59=0,0,D60/C59)</f>
        <v>#N/A</v>
      </c>
      <c r="E61" s="87"/>
      <c r="F61" s="87"/>
      <c r="G61" s="324" t="s">
        <v>874</v>
      </c>
      <c r="H61" s="326" t="s">
        <v>1181</v>
      </c>
      <c r="I61" s="327"/>
      <c r="J61" s="327" t="e">
        <f>IF(I59=0,0,J60/I59)</f>
        <v>#N/A</v>
      </c>
      <c r="K61" s="327"/>
      <c r="L61" s="327" t="e">
        <f>IF(K59=0,0,L60/K59)</f>
        <v>#N/A</v>
      </c>
      <c r="M61" s="327"/>
      <c r="N61" s="327" t="e">
        <f>IF(M59=0,0,N60/M59)</f>
        <v>#N/A</v>
      </c>
      <c r="O61" s="327"/>
      <c r="P61" s="327" t="e">
        <f>IF(O59=0,0,P60/O59)</f>
        <v>#N/A</v>
      </c>
      <c r="Q61" s="327"/>
      <c r="R61" s="327">
        <f>IF(Q59=0,0,R60/Q59)</f>
        <v>0</v>
      </c>
      <c r="S61" s="327"/>
      <c r="T61" s="327">
        <f>IF(S59=0,0,T60/S59)</f>
        <v>0</v>
      </c>
      <c r="U61" s="327"/>
      <c r="V61" s="327">
        <f>IF(U59=0,0,V60/U59)</f>
        <v>0</v>
      </c>
      <c r="W61" s="327"/>
      <c r="X61" s="327">
        <f>IF(W59=0,0,X60/W59)</f>
        <v>0</v>
      </c>
      <c r="Y61" s="327"/>
      <c r="Z61" s="327">
        <f>IF(Y59=0,0,Z60/Y59)</f>
        <v>0</v>
      </c>
      <c r="AA61" s="327"/>
      <c r="AB61" s="327" t="e">
        <f>IF(AA59=0,0,AB60/AA59)</f>
        <v>#N/A</v>
      </c>
      <c r="AC61" s="327"/>
      <c r="AD61" s="327" t="e">
        <f>IF(AC59=0,0,AD60/AC59)</f>
        <v>#N/A</v>
      </c>
      <c r="AE61" s="327"/>
      <c r="AF61" s="327" t="e">
        <f>IF(AE59=0,0,AF60/AE59)</f>
        <v>#N/A</v>
      </c>
      <c r="AG61" s="87"/>
      <c r="AH61" s="87"/>
      <c r="AI61" s="87"/>
      <c r="AJ61" s="87"/>
      <c r="AK61" s="87"/>
      <c r="AL61" s="87"/>
      <c r="AM61" s="87"/>
      <c r="AN61" s="87"/>
      <c r="AO61" s="87"/>
      <c r="AP61" s="87"/>
      <c r="AQ61" s="87"/>
      <c r="AR61" s="87"/>
      <c r="AS61" s="87"/>
      <c r="AT61" s="87"/>
      <c r="AU61" s="87"/>
    </row>
    <row r="62" spans="1:55" ht="24.75" customHeight="1" x14ac:dyDescent="0.25">
      <c r="A62" s="346" t="s">
        <v>1198</v>
      </c>
      <c r="B62" s="339" t="s">
        <v>842</v>
      </c>
      <c r="C62" s="340" t="e">
        <f>'Расчет базового уровня'!D62</f>
        <v>#N/A</v>
      </c>
      <c r="D62" s="341" t="e">
        <f>IF((D151*D152*'Ввод исходных данных'!$D$21*0.28)*D147*0.024+D190*D154+D161&gt;C62,C62,(D151*D152*'Ввод исходных данных'!$D$21*0.28)*D147*0.024+D190*D154+D161)</f>
        <v>#VALUE!</v>
      </c>
      <c r="E62" s="87"/>
      <c r="F62" s="87"/>
      <c r="G62" s="361" t="s">
        <v>1198</v>
      </c>
      <c r="H62" s="343" t="s">
        <v>842</v>
      </c>
      <c r="I62" s="340" t="e">
        <f>'Расчет базового уровня'!J62</f>
        <v>#N/A</v>
      </c>
      <c r="J62" s="345" t="e">
        <f>MIN(I62,($D$151*$D$152*'Ввод исходных данных'!$D$21*0.28)*$G$147*0.024+$G$190*$D$154+$G$161)</f>
        <v>#DIV/0!</v>
      </c>
      <c r="K62" s="340" t="e">
        <f>'Расчет базового уровня'!M62</f>
        <v>#N/A</v>
      </c>
      <c r="L62" s="345" t="e">
        <f>MIN(K62,($D$151*$D$152*'Ввод исходных данных'!$D$21*0.28)*$H$147*0.024+$H$190*$D$154+$H$161)</f>
        <v>#DIV/0!</v>
      </c>
      <c r="M62" s="340" t="e">
        <f>'Расчет базового уровня'!P62</f>
        <v>#N/A</v>
      </c>
      <c r="N62" s="345" t="e">
        <f>MIN(M62,($D$151*$D$152*'Ввод исходных данных'!$D$21*0.28)*$I$147*0.024+$I$190*$D$154+$I$161)</f>
        <v>#DIV/0!</v>
      </c>
      <c r="O62" s="340" t="e">
        <f>'Расчет базового уровня'!S62</f>
        <v>#N/A</v>
      </c>
      <c r="P62" s="345" t="e">
        <f>MIN(O62,($D$151*$D$152*'Ввод исходных данных'!$D$21*0.28)*$J$147*0.024+$J$190*$D$154+$J$161)</f>
        <v>#DIV/0!</v>
      </c>
      <c r="Q62" s="340">
        <f>'Расчет базового уровня'!V62</f>
        <v>0</v>
      </c>
      <c r="R62" s="345" t="e">
        <f>MIN(Q62,($D$151*$D$152*'Ввод исходных данных'!$D$21*0.28)*$K$147*0.024+$K$190*$D$154+$K$161)</f>
        <v>#DIV/0!</v>
      </c>
      <c r="S62" s="340">
        <f>'Расчет базового уровня'!Y62</f>
        <v>0</v>
      </c>
      <c r="T62" s="345" t="e">
        <f>MIN(S62,($D$151*$D$152*'Ввод исходных данных'!$D$21*0.28)*$L$147*0.024+$L$190*$D$154+$L$161)</f>
        <v>#DIV/0!</v>
      </c>
      <c r="U62" s="340">
        <f>'Расчет базового уровня'!AB62</f>
        <v>0</v>
      </c>
      <c r="V62" s="345" t="e">
        <f>MIN(U62,($D$151*$D$152*'Ввод исходных данных'!$D$21*0.28)*$M$147*0.024+$M$190*$D$154+$M$161)</f>
        <v>#DIV/0!</v>
      </c>
      <c r="W62" s="340">
        <f>'Расчет базового уровня'!AE62</f>
        <v>0</v>
      </c>
      <c r="X62" s="345" t="e">
        <f>MIN(W62,($D$151*$D$152*'Ввод исходных данных'!$D$21*0.28)*$N$147*0.024+$N$190*$D$154+$N$161)</f>
        <v>#DIV/0!</v>
      </c>
      <c r="Y62" s="340">
        <f>'Расчет базового уровня'!AH62</f>
        <v>0</v>
      </c>
      <c r="Z62" s="345" t="e">
        <f>MIN(Y62,($D$151*$D$152*'Ввод исходных данных'!$D$21*0.28)*$O$147*0.024+$O$190*$D$154+$O$161)</f>
        <v>#DIV/0!</v>
      </c>
      <c r="AA62" s="340">
        <f>'Расчет базового уровня'!AK62</f>
        <v>0</v>
      </c>
      <c r="AB62" s="345" t="e">
        <f>MIN(AA62,($D$151*$D$152*'Ввод исходных данных'!$D$21*0.28)*$P$147*0.024+$P$190*$D$154+$P$161)</f>
        <v>#DIV/0!</v>
      </c>
      <c r="AC62" s="340">
        <f>'Расчет базового уровня'!AN62</f>
        <v>0</v>
      </c>
      <c r="AD62" s="345" t="e">
        <f>MIN(AC62,($D$151*$D$152*'Ввод исходных данных'!$D$21*0.28)*$Q$147*0.024+$Q$190*$D$154+$Q$161)</f>
        <v>#DIV/0!</v>
      </c>
      <c r="AE62" s="340">
        <f>'Расчет базового уровня'!AQ62</f>
        <v>0</v>
      </c>
      <c r="AF62" s="345" t="e">
        <f>MIN(AE62,($D$151*$D$152*'Ввод исходных данных'!$D$21*0.28)*$R$147*0.024+$R$190*$D$154+$R$161)</f>
        <v>#DIV/0!</v>
      </c>
      <c r="AG62" s="87"/>
      <c r="AH62" s="87"/>
      <c r="AI62" s="87"/>
      <c r="AJ62" s="87"/>
      <c r="AK62" s="87"/>
      <c r="AL62" s="87"/>
      <c r="AM62" s="87"/>
      <c r="AN62" s="87"/>
      <c r="AO62" s="87"/>
      <c r="AP62" s="87"/>
      <c r="AQ62" s="87"/>
      <c r="AR62" s="87"/>
      <c r="AS62" s="87"/>
      <c r="AT62" s="87"/>
      <c r="AU62" s="87"/>
    </row>
    <row r="63" spans="1:55" x14ac:dyDescent="0.25">
      <c r="A63" s="324" t="s">
        <v>1347</v>
      </c>
      <c r="B63" s="321" t="s">
        <v>842</v>
      </c>
      <c r="C63" s="325"/>
      <c r="D63" s="325" t="e">
        <f>C62-D62</f>
        <v>#N/A</v>
      </c>
      <c r="E63" s="334"/>
      <c r="F63" s="87"/>
      <c r="G63" s="324" t="s">
        <v>1347</v>
      </c>
      <c r="H63" s="321" t="s">
        <v>842</v>
      </c>
      <c r="I63" s="325"/>
      <c r="J63" s="325" t="e">
        <f>I62-J62</f>
        <v>#N/A</v>
      </c>
      <c r="K63" s="325"/>
      <c r="L63" s="325" t="e">
        <f>K62-L62</f>
        <v>#N/A</v>
      </c>
      <c r="M63" s="325"/>
      <c r="N63" s="325" t="e">
        <f>M62-N62</f>
        <v>#N/A</v>
      </c>
      <c r="O63" s="325"/>
      <c r="P63" s="325" t="e">
        <f>O62-P62</f>
        <v>#N/A</v>
      </c>
      <c r="Q63" s="325"/>
      <c r="R63" s="325" t="e">
        <f>Q62-R62</f>
        <v>#DIV/0!</v>
      </c>
      <c r="S63" s="325"/>
      <c r="T63" s="325" t="e">
        <f>S62-T62</f>
        <v>#DIV/0!</v>
      </c>
      <c r="U63" s="325"/>
      <c r="V63" s="325" t="e">
        <f>U62-V62</f>
        <v>#DIV/0!</v>
      </c>
      <c r="W63" s="325"/>
      <c r="X63" s="325" t="e">
        <f>W62-X62</f>
        <v>#DIV/0!</v>
      </c>
      <c r="Y63" s="325"/>
      <c r="Z63" s="325" t="e">
        <f>Y62-Z62</f>
        <v>#DIV/0!</v>
      </c>
      <c r="AA63" s="325"/>
      <c r="AB63" s="325" t="e">
        <f>AA62-AB62</f>
        <v>#DIV/0!</v>
      </c>
      <c r="AC63" s="325"/>
      <c r="AD63" s="325" t="e">
        <f>AC62-AD62</f>
        <v>#DIV/0!</v>
      </c>
      <c r="AE63" s="325"/>
      <c r="AF63" s="325" t="e">
        <f>AE62-AF62</f>
        <v>#DIV/0!</v>
      </c>
      <c r="AG63" s="87"/>
      <c r="AH63" s="87"/>
      <c r="AI63" s="87"/>
      <c r="AJ63" s="87"/>
      <c r="AK63" s="87"/>
      <c r="AL63" s="87"/>
      <c r="AM63" s="87"/>
      <c r="AN63" s="87"/>
      <c r="AO63" s="87"/>
      <c r="AP63" s="87"/>
      <c r="AQ63" s="87"/>
      <c r="AR63" s="87"/>
      <c r="AS63" s="87"/>
      <c r="AT63" s="87"/>
      <c r="AU63" s="87"/>
    </row>
    <row r="64" spans="1:55" ht="15.75" thickBot="1" x14ac:dyDescent="0.3">
      <c r="A64" s="324" t="s">
        <v>874</v>
      </c>
      <c r="B64" s="326" t="s">
        <v>1181</v>
      </c>
      <c r="C64" s="327"/>
      <c r="D64" s="327" t="e">
        <f>IF(C62=0,0,D63/C62)</f>
        <v>#N/A</v>
      </c>
      <c r="E64" s="87"/>
      <c r="F64" s="87"/>
      <c r="G64" s="324" t="s">
        <v>874</v>
      </c>
      <c r="H64" s="326" t="s">
        <v>1181</v>
      </c>
      <c r="I64" s="327"/>
      <c r="J64" s="327" t="e">
        <f>IF(I62=0,0,J63/I62)</f>
        <v>#N/A</v>
      </c>
      <c r="K64" s="327"/>
      <c r="L64" s="327" t="e">
        <f>IF(K62=0,0,L63/K62)</f>
        <v>#N/A</v>
      </c>
      <c r="M64" s="327"/>
      <c r="N64" s="327" t="e">
        <f>IF(M62=0,0,N63/M62)</f>
        <v>#N/A</v>
      </c>
      <c r="O64" s="327"/>
      <c r="P64" s="327" t="e">
        <f>IF(O62=0,0,P63/O62)</f>
        <v>#N/A</v>
      </c>
      <c r="Q64" s="327"/>
      <c r="R64" s="327">
        <f>IF(Q62=0,0,R63/Q62)</f>
        <v>0</v>
      </c>
      <c r="S64" s="327"/>
      <c r="T64" s="327">
        <f>IF(S62=0,0,T63/S62)</f>
        <v>0</v>
      </c>
      <c r="U64" s="327"/>
      <c r="V64" s="327">
        <f>IF(U62=0,0,V63/U62)</f>
        <v>0</v>
      </c>
      <c r="W64" s="327"/>
      <c r="X64" s="327">
        <f>IF(W62=0,0,X63/W62)</f>
        <v>0</v>
      </c>
      <c r="Y64" s="327"/>
      <c r="Z64" s="327">
        <f>IF(Y62=0,0,Z63/Y62)</f>
        <v>0</v>
      </c>
      <c r="AA64" s="327"/>
      <c r="AB64" s="327">
        <f>IF(AA62=0,0,AB63/AA62)</f>
        <v>0</v>
      </c>
      <c r="AC64" s="327"/>
      <c r="AD64" s="327">
        <f>IF(AC62=0,0,AD63/AC62)</f>
        <v>0</v>
      </c>
      <c r="AE64" s="327"/>
      <c r="AF64" s="327">
        <f>IF(AE62=0,0,AF63/AE62)</f>
        <v>0</v>
      </c>
      <c r="AG64" s="87"/>
      <c r="AH64" s="87"/>
      <c r="AI64" s="87"/>
      <c r="AJ64" s="87"/>
      <c r="AK64" s="87"/>
      <c r="AL64" s="87"/>
      <c r="AM64" s="87"/>
      <c r="AN64" s="87"/>
      <c r="AO64" s="87"/>
      <c r="AP64" s="87"/>
      <c r="AQ64" s="87"/>
      <c r="AR64" s="87"/>
      <c r="AS64" s="87"/>
      <c r="AT64" s="87"/>
      <c r="AU64" s="87"/>
    </row>
    <row r="65" spans="1:47" ht="45.75" customHeight="1" x14ac:dyDescent="0.25">
      <c r="A65" s="346" t="s">
        <v>1206</v>
      </c>
      <c r="B65" s="339" t="s">
        <v>842</v>
      </c>
      <c r="C65" s="340" t="e">
        <f>'Расчет базового уровня'!D65</f>
        <v>#N/A</v>
      </c>
      <c r="D65" s="341" t="e">
        <f>IF((D62+D38-D71*$D$156)*($D$158-1)&gt;C65,C65,(D62+D38-D71*$D$156)*($D$158-1))</f>
        <v>#VALUE!</v>
      </c>
      <c r="E65" s="87"/>
      <c r="F65" s="87"/>
      <c r="G65" s="362" t="s">
        <v>1206</v>
      </c>
      <c r="H65" s="363" t="s">
        <v>842</v>
      </c>
      <c r="I65" s="340" t="e">
        <f>'Расчет базового уровня'!J65</f>
        <v>#N/A</v>
      </c>
      <c r="J65" s="364" t="e">
        <f>MIN(I65,(J62+J38-J71*$D$156)*($D$158-1))</f>
        <v>#DIV/0!</v>
      </c>
      <c r="K65" s="340" t="e">
        <f>'Расчет базового уровня'!M65</f>
        <v>#N/A</v>
      </c>
      <c r="L65" s="364" t="e">
        <f>MIN(K65,(L62+L38-L71*$D$156)*($D$158-1))</f>
        <v>#DIV/0!</v>
      </c>
      <c r="M65" s="340" t="e">
        <f>'Расчет базового уровня'!P65</f>
        <v>#N/A</v>
      </c>
      <c r="N65" s="364" t="e">
        <f>MIN(M65,(N62+N38-N71*$D$156)*($D$158-1))</f>
        <v>#DIV/0!</v>
      </c>
      <c r="O65" s="340" t="e">
        <f>'Расчет базового уровня'!S65</f>
        <v>#N/A</v>
      </c>
      <c r="P65" s="364" t="e">
        <f>MIN(O65,(P62+P38-P71*$D$156)*($D$158-1))</f>
        <v>#DIV/0!</v>
      </c>
      <c r="Q65" s="340">
        <f>'Расчет базового уровня'!V65</f>
        <v>0</v>
      </c>
      <c r="R65" s="364" t="e">
        <f>MIN(Q65,(R62+R38-R71*$D$156)*($D$158-1))</f>
        <v>#DIV/0!</v>
      </c>
      <c r="S65" s="340">
        <f>'Расчет базового уровня'!Y65</f>
        <v>0</v>
      </c>
      <c r="T65" s="364" t="e">
        <f>MIN(S65,(T62+T38-T71*$D$156)*($D$158-1))</f>
        <v>#DIV/0!</v>
      </c>
      <c r="U65" s="340">
        <f>'Расчет базового уровня'!AB65</f>
        <v>0</v>
      </c>
      <c r="V65" s="364" t="e">
        <f>MIN(U65,(V62+V38-V71*$D$156)*($D$158-1))</f>
        <v>#DIV/0!</v>
      </c>
      <c r="W65" s="340">
        <f>'Расчет базового уровня'!AE65</f>
        <v>0</v>
      </c>
      <c r="X65" s="364" t="e">
        <f>MIN(W65,(X62+X38-X71*$D$156)*($D$158-1))</f>
        <v>#DIV/0!</v>
      </c>
      <c r="Y65" s="340">
        <f>'Расчет базового уровня'!AH65</f>
        <v>0</v>
      </c>
      <c r="Z65" s="364" t="e">
        <f>MIN(Y65,(Z62+Z38-Z71*$D$156)*($D$158-1))</f>
        <v>#DIV/0!</v>
      </c>
      <c r="AA65" s="340">
        <f>'Расчет базового уровня'!AK65</f>
        <v>0</v>
      </c>
      <c r="AB65" s="364" t="e">
        <f>MIN(AA65,(AB62+AB38-AB71*$D$156)*($D$158-1))</f>
        <v>#DIV/0!</v>
      </c>
      <c r="AC65" s="340">
        <f>'Расчет базового уровня'!AN65</f>
        <v>0</v>
      </c>
      <c r="AD65" s="364" t="e">
        <f>MIN(AC65,(AD62+AD38-AD71*$D$156)*($D$158-1))</f>
        <v>#DIV/0!</v>
      </c>
      <c r="AE65" s="340">
        <f>'Расчет базового уровня'!AQ65</f>
        <v>0</v>
      </c>
      <c r="AF65" s="364" t="e">
        <f>MIN(AE65,(AF62+AF38-AF71*$D$156)*($D$158-1))</f>
        <v>#DIV/0!</v>
      </c>
      <c r="AG65" s="87"/>
      <c r="AH65" s="87"/>
      <c r="AI65" s="87"/>
      <c r="AJ65" s="87"/>
      <c r="AK65" s="87"/>
      <c r="AL65" s="87"/>
      <c r="AM65" s="87"/>
      <c r="AN65" s="87"/>
      <c r="AO65" s="87"/>
      <c r="AP65" s="87"/>
      <c r="AQ65" s="87"/>
      <c r="AR65" s="87"/>
      <c r="AS65" s="87"/>
      <c r="AT65" s="87"/>
      <c r="AU65" s="87"/>
    </row>
    <row r="66" spans="1:47" x14ac:dyDescent="0.25">
      <c r="A66" s="324" t="s">
        <v>1347</v>
      </c>
      <c r="B66" s="321" t="s">
        <v>842</v>
      </c>
      <c r="C66" s="325"/>
      <c r="D66" s="325" t="e">
        <f>C65-D65</f>
        <v>#N/A</v>
      </c>
      <c r="E66" s="87"/>
      <c r="F66" s="87"/>
      <c r="G66" s="324" t="s">
        <v>1347</v>
      </c>
      <c r="H66" s="321" t="s">
        <v>842</v>
      </c>
      <c r="I66" s="325"/>
      <c r="J66" s="325" t="e">
        <f>I65-J65</f>
        <v>#N/A</v>
      </c>
      <c r="K66" s="325"/>
      <c r="L66" s="325" t="e">
        <f>K65-L65</f>
        <v>#N/A</v>
      </c>
      <c r="M66" s="325"/>
      <c r="N66" s="325" t="e">
        <f>M65-N65</f>
        <v>#N/A</v>
      </c>
      <c r="O66" s="325"/>
      <c r="P66" s="325" t="e">
        <f>O65-P65</f>
        <v>#N/A</v>
      </c>
      <c r="Q66" s="325"/>
      <c r="R66" s="325" t="e">
        <f>Q65-R65</f>
        <v>#DIV/0!</v>
      </c>
      <c r="S66" s="325"/>
      <c r="T66" s="325" t="e">
        <f>S65-T65</f>
        <v>#DIV/0!</v>
      </c>
      <c r="U66" s="325"/>
      <c r="V66" s="325" t="e">
        <f>U65-V65</f>
        <v>#DIV/0!</v>
      </c>
      <c r="W66" s="325"/>
      <c r="X66" s="325" t="e">
        <f>W65-X65</f>
        <v>#DIV/0!</v>
      </c>
      <c r="Y66" s="325"/>
      <c r="Z66" s="325" t="e">
        <f>Y65-Z65</f>
        <v>#DIV/0!</v>
      </c>
      <c r="AA66" s="325"/>
      <c r="AB66" s="325" t="e">
        <f>AA65-AB65</f>
        <v>#DIV/0!</v>
      </c>
      <c r="AC66" s="325"/>
      <c r="AD66" s="325" t="e">
        <f>AC65-AD65</f>
        <v>#DIV/0!</v>
      </c>
      <c r="AE66" s="325"/>
      <c r="AF66" s="325" t="e">
        <f>AE65-AF65</f>
        <v>#DIV/0!</v>
      </c>
      <c r="AG66" s="87"/>
      <c r="AH66" s="87"/>
      <c r="AI66" s="87"/>
      <c r="AJ66" s="87"/>
      <c r="AK66" s="87"/>
      <c r="AL66" s="87"/>
      <c r="AM66" s="87"/>
      <c r="AN66" s="87"/>
      <c r="AO66" s="87"/>
      <c r="AP66" s="87"/>
      <c r="AQ66" s="87"/>
      <c r="AR66" s="87"/>
      <c r="AS66" s="87"/>
      <c r="AT66" s="87"/>
      <c r="AU66" s="87"/>
    </row>
    <row r="67" spans="1:47" ht="18" customHeight="1" thickBot="1" x14ac:dyDescent="0.3">
      <c r="A67" s="324" t="s">
        <v>874</v>
      </c>
      <c r="B67" s="326" t="s">
        <v>1181</v>
      </c>
      <c r="C67" s="327"/>
      <c r="D67" s="327" t="e">
        <f>IF(C65=0,0,D66/C65)</f>
        <v>#N/A</v>
      </c>
      <c r="E67" s="87"/>
      <c r="F67" s="87"/>
      <c r="G67" s="324" t="s">
        <v>874</v>
      </c>
      <c r="H67" s="326" t="s">
        <v>1181</v>
      </c>
      <c r="I67" s="327"/>
      <c r="J67" s="327" t="e">
        <f>IF(I65=0,0,J66/I65)</f>
        <v>#N/A</v>
      </c>
      <c r="K67" s="327"/>
      <c r="L67" s="327" t="e">
        <f>IF(K65=0,0,L66/K65)</f>
        <v>#N/A</v>
      </c>
      <c r="M67" s="327"/>
      <c r="N67" s="327" t="e">
        <f>IF(M65=0,0,N66/M65)</f>
        <v>#N/A</v>
      </c>
      <c r="O67" s="327"/>
      <c r="P67" s="327" t="e">
        <f>IF(O65=0,0,P66/O65)</f>
        <v>#N/A</v>
      </c>
      <c r="Q67" s="327"/>
      <c r="R67" s="327">
        <f>IF(Q65=0,0,R66/Q65)</f>
        <v>0</v>
      </c>
      <c r="S67" s="327"/>
      <c r="T67" s="327">
        <f>IF(S65=0,0,T66/S65)</f>
        <v>0</v>
      </c>
      <c r="U67" s="327"/>
      <c r="V67" s="327">
        <f>IF(U65=0,0,V66/U65)</f>
        <v>0</v>
      </c>
      <c r="W67" s="327"/>
      <c r="X67" s="327">
        <f>IF(W65=0,0,X66/W65)</f>
        <v>0</v>
      </c>
      <c r="Y67" s="327"/>
      <c r="Z67" s="327">
        <f>IF(Y65=0,0,Z66/Y65)</f>
        <v>0</v>
      </c>
      <c r="AA67" s="327"/>
      <c r="AB67" s="327">
        <f>IF(AA65=0,0,AB66/AA65)</f>
        <v>0</v>
      </c>
      <c r="AC67" s="327"/>
      <c r="AD67" s="327">
        <f>IF(AC65=0,0,AD66/AC65)</f>
        <v>0</v>
      </c>
      <c r="AE67" s="327"/>
      <c r="AF67" s="327">
        <f>IF(AE65=0,0,AF66/AE65)</f>
        <v>0</v>
      </c>
      <c r="AG67" s="87"/>
      <c r="AH67" s="87"/>
      <c r="AI67" s="87"/>
      <c r="AJ67" s="87"/>
      <c r="AK67" s="87"/>
      <c r="AL67" s="87"/>
      <c r="AM67" s="87"/>
      <c r="AN67" s="87"/>
      <c r="AO67" s="87"/>
      <c r="AP67" s="87"/>
      <c r="AQ67" s="87"/>
      <c r="AR67" s="87"/>
      <c r="AS67" s="87"/>
      <c r="AT67" s="87"/>
      <c r="AU67" s="87"/>
    </row>
    <row r="68" spans="1:47" ht="45.6" customHeight="1" x14ac:dyDescent="0.25">
      <c r="A68" s="346" t="s">
        <v>1200</v>
      </c>
      <c r="B68" s="339" t="s">
        <v>842</v>
      </c>
      <c r="C68" s="340" t="e">
        <f>'Расчет базового уровня'!D68</f>
        <v>#DIV/0!</v>
      </c>
      <c r="D68" s="365" t="e">
        <f>IF(D71*(1-$D$156)&gt;C68,C68,D71*(1-$D$156))</f>
        <v>#DIV/0!</v>
      </c>
      <c r="E68" s="87"/>
      <c r="F68" s="87"/>
      <c r="G68" s="362" t="s">
        <v>1200</v>
      </c>
      <c r="H68" s="363" t="s">
        <v>842</v>
      </c>
      <c r="I68" s="340" t="e">
        <f>'Расчет базового уровня'!J68</f>
        <v>#DIV/0!</v>
      </c>
      <c r="J68" s="366" t="e">
        <f>MIN(I68,J71*(1-$D$156))</f>
        <v>#DIV/0!</v>
      </c>
      <c r="K68" s="340" t="e">
        <f>'Расчет базового уровня'!M68</f>
        <v>#DIV/0!</v>
      </c>
      <c r="L68" s="366" t="e">
        <f>MIN(K68,L71*(1-$D$156))</f>
        <v>#DIV/0!</v>
      </c>
      <c r="M68" s="340" t="e">
        <f>'Расчет базового уровня'!P68</f>
        <v>#DIV/0!</v>
      </c>
      <c r="N68" s="366" t="e">
        <f>MIN(M68,N71*(1-$D$156))</f>
        <v>#DIV/0!</v>
      </c>
      <c r="O68" s="340" t="e">
        <f>'Расчет базового уровня'!S68</f>
        <v>#DIV/0!</v>
      </c>
      <c r="P68" s="366" t="e">
        <f>MIN(O68,P71*(1-$D$156))</f>
        <v>#DIV/0!</v>
      </c>
      <c r="Q68" s="340">
        <f>'Расчет базового уровня'!V68</f>
        <v>0</v>
      </c>
      <c r="R68" s="366">
        <f>MIN(Q68,R71*(1-$D$156))</f>
        <v>0</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0</v>
      </c>
      <c r="Z68" s="366">
        <f>MIN(Y68,Z71*(1-$D$156))</f>
        <v>0</v>
      </c>
      <c r="AA68" s="340">
        <f>'Расчет базового уровня'!AK68</f>
        <v>0</v>
      </c>
      <c r="AB68" s="366">
        <f>MIN(AA68,AB71*(1-$D$156))</f>
        <v>0</v>
      </c>
      <c r="AC68" s="340">
        <f>'Расчет базового уровня'!AN68</f>
        <v>0</v>
      </c>
      <c r="AD68" s="366">
        <f>MIN(AC68,AD71*(1-$D$156))</f>
        <v>0</v>
      </c>
      <c r="AE68" s="340">
        <f>'Расчет базового уровня'!AQ68</f>
        <v>0</v>
      </c>
      <c r="AF68" s="366">
        <f>MIN(AE68,AF71*(1-$D$156))</f>
        <v>0</v>
      </c>
      <c r="AG68" s="87"/>
      <c r="AH68" s="87"/>
      <c r="AI68" s="87"/>
      <c r="AJ68" s="87"/>
      <c r="AK68" s="87"/>
      <c r="AL68" s="87"/>
      <c r="AM68" s="87"/>
      <c r="AN68" s="87"/>
      <c r="AO68" s="87"/>
      <c r="AP68" s="87"/>
      <c r="AQ68" s="87"/>
      <c r="AR68" s="87"/>
      <c r="AS68" s="87"/>
      <c r="AT68" s="87"/>
      <c r="AU68" s="87"/>
    </row>
    <row r="69" spans="1:47" x14ac:dyDescent="0.25">
      <c r="A69" s="324" t="s">
        <v>1347</v>
      </c>
      <c r="B69" s="321" t="s">
        <v>842</v>
      </c>
      <c r="C69" s="325"/>
      <c r="D69" s="325" t="e">
        <f>C68-D68</f>
        <v>#DIV/0!</v>
      </c>
      <c r="E69" s="87"/>
      <c r="F69" s="87"/>
      <c r="G69" s="324" t="s">
        <v>1347</v>
      </c>
      <c r="H69" s="321" t="s">
        <v>842</v>
      </c>
      <c r="I69" s="325"/>
      <c r="J69" s="325" t="e">
        <f>I68-J68</f>
        <v>#DIV/0!</v>
      </c>
      <c r="K69" s="325"/>
      <c r="L69" s="325" t="e">
        <f>K68-L68</f>
        <v>#DIV/0!</v>
      </c>
      <c r="M69" s="325"/>
      <c r="N69" s="325" t="e">
        <f>M68-N68</f>
        <v>#DIV/0!</v>
      </c>
      <c r="O69" s="325"/>
      <c r="P69" s="325" t="e">
        <f>O68-P68</f>
        <v>#DIV/0!</v>
      </c>
      <c r="Q69" s="325"/>
      <c r="R69" s="325">
        <f>Q68-R68</f>
        <v>0</v>
      </c>
      <c r="S69" s="325"/>
      <c r="T69" s="325">
        <f>S68-T68</f>
        <v>0</v>
      </c>
      <c r="U69" s="325"/>
      <c r="V69" s="325">
        <f>U68-V68</f>
        <v>0</v>
      </c>
      <c r="W69" s="325"/>
      <c r="X69" s="325">
        <f>W68-X68</f>
        <v>0</v>
      </c>
      <c r="Y69" s="325"/>
      <c r="Z69" s="325">
        <f>Y68-Z68</f>
        <v>0</v>
      </c>
      <c r="AA69" s="325"/>
      <c r="AB69" s="325">
        <f>AA68-AB68</f>
        <v>0</v>
      </c>
      <c r="AC69" s="325"/>
      <c r="AD69" s="325">
        <f>AC68-AD68</f>
        <v>0</v>
      </c>
      <c r="AE69" s="325"/>
      <c r="AF69" s="325">
        <f>AE68-AF68</f>
        <v>0</v>
      </c>
      <c r="AG69" s="87"/>
      <c r="AH69" s="87"/>
      <c r="AI69" s="87"/>
      <c r="AJ69" s="87"/>
      <c r="AK69" s="87"/>
      <c r="AL69" s="87"/>
      <c r="AM69" s="87"/>
      <c r="AN69" s="87"/>
      <c r="AO69" s="87"/>
      <c r="AP69" s="87"/>
      <c r="AQ69" s="87"/>
      <c r="AR69" s="87"/>
      <c r="AS69" s="87"/>
      <c r="AT69" s="87"/>
      <c r="AU69" s="87"/>
    </row>
    <row r="70" spans="1:47" ht="15" customHeight="1" thickBot="1" x14ac:dyDescent="0.3">
      <c r="A70" s="324" t="s">
        <v>874</v>
      </c>
      <c r="B70" s="326" t="s">
        <v>1181</v>
      </c>
      <c r="C70" s="327"/>
      <c r="D70" s="327" t="e">
        <f>IF(C68=0,0,D69/C68)</f>
        <v>#DIV/0!</v>
      </c>
      <c r="E70" s="87"/>
      <c r="F70" s="87"/>
      <c r="G70" s="324" t="s">
        <v>874</v>
      </c>
      <c r="H70" s="326" t="s">
        <v>1181</v>
      </c>
      <c r="I70" s="327"/>
      <c r="J70" s="327" t="e">
        <f>IF(I68=0,0,J69/I68)</f>
        <v>#DIV/0!</v>
      </c>
      <c r="K70" s="327"/>
      <c r="L70" s="327" t="e">
        <f>IF(K68=0,0,L69/K68)</f>
        <v>#DIV/0!</v>
      </c>
      <c r="M70" s="327"/>
      <c r="N70" s="327" t="e">
        <f>IF(M68=0,0,N69/M68)</f>
        <v>#DIV/0!</v>
      </c>
      <c r="O70" s="327"/>
      <c r="P70" s="327" t="e">
        <f>IF(O68=0,0,P69/O68)</f>
        <v>#DIV/0!</v>
      </c>
      <c r="Q70" s="327"/>
      <c r="R70" s="327">
        <f>IF(Q68=0,0,R69/Q68)</f>
        <v>0</v>
      </c>
      <c r="S70" s="327"/>
      <c r="T70" s="327">
        <f>IF(S68=0,0,T69/S68)</f>
        <v>0</v>
      </c>
      <c r="U70" s="327"/>
      <c r="V70" s="327">
        <f>IF(U68=0,0,V69/U68)</f>
        <v>0</v>
      </c>
      <c r="W70" s="327"/>
      <c r="X70" s="327">
        <f>IF(W68=0,0,X69/W68)</f>
        <v>0</v>
      </c>
      <c r="Y70" s="327"/>
      <c r="Z70" s="327">
        <f>IF(Y68=0,0,Z69/Y68)</f>
        <v>0</v>
      </c>
      <c r="AA70" s="327"/>
      <c r="AB70" s="327">
        <f>IF(AA68=0,0,AB69/AA68)</f>
        <v>0</v>
      </c>
      <c r="AC70" s="327"/>
      <c r="AD70" s="327">
        <f>IF(AC68=0,0,AD69/AC68)</f>
        <v>0</v>
      </c>
      <c r="AE70" s="327"/>
      <c r="AF70" s="327">
        <f>IF(AE68=0,0,AF69/AE68)</f>
        <v>0</v>
      </c>
      <c r="AG70" s="87"/>
      <c r="AH70" s="87"/>
      <c r="AI70" s="87"/>
      <c r="AJ70" s="87"/>
      <c r="AK70" s="87"/>
      <c r="AL70" s="87"/>
      <c r="AM70" s="87"/>
      <c r="AN70" s="87"/>
      <c r="AO70" s="87"/>
      <c r="AP70" s="87"/>
      <c r="AQ70" s="87"/>
      <c r="AR70" s="87"/>
      <c r="AS70" s="87"/>
      <c r="AT70" s="87"/>
      <c r="AU70" s="87"/>
    </row>
    <row r="71" spans="1:47" ht="26.1" customHeight="1" x14ac:dyDescent="0.25">
      <c r="A71" s="367" t="s">
        <v>1202</v>
      </c>
      <c r="B71" s="368" t="s">
        <v>842</v>
      </c>
      <c r="C71" s="340" t="e">
        <f>'Расчет базового уровня'!D71</f>
        <v>#DIV/0!</v>
      </c>
      <c r="D71" s="369" t="e">
        <f>C71</f>
        <v>#DIV/0!</v>
      </c>
      <c r="E71" s="87"/>
      <c r="F71" s="87"/>
      <c r="G71" s="361" t="s">
        <v>1202</v>
      </c>
      <c r="H71" s="363" t="s">
        <v>842</v>
      </c>
      <c r="I71" s="340">
        <f>'Расчет базового уровня'!J71</f>
        <v>0</v>
      </c>
      <c r="J71" s="370">
        <f>I71</f>
        <v>0</v>
      </c>
      <c r="K71" s="340">
        <f>'Расчет базового уровня'!M71</f>
        <v>0</v>
      </c>
      <c r="L71" s="370">
        <f>K71</f>
        <v>0</v>
      </c>
      <c r="M71" s="340">
        <f>'Расчет базового уровня'!P71</f>
        <v>0</v>
      </c>
      <c r="N71" s="370">
        <f>M71</f>
        <v>0</v>
      </c>
      <c r="O71" s="340">
        <f>'Расчет базового уровня'!S71</f>
        <v>0</v>
      </c>
      <c r="P71" s="371">
        <f>O71</f>
        <v>0</v>
      </c>
      <c r="Q71" s="340">
        <f>'Расчет базового уровня'!V71</f>
        <v>0</v>
      </c>
      <c r="R71" s="352">
        <f>Q71</f>
        <v>0</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0</v>
      </c>
      <c r="Z71" s="372">
        <f>Y71</f>
        <v>0</v>
      </c>
      <c r="AA71" s="340">
        <f>'Расчет базового уровня'!AK71</f>
        <v>0</v>
      </c>
      <c r="AB71" s="370">
        <f>AA71</f>
        <v>0</v>
      </c>
      <c r="AC71" s="340">
        <f>'Расчет базового уровня'!AN71</f>
        <v>0</v>
      </c>
      <c r="AD71" s="370">
        <f>AC71</f>
        <v>0</v>
      </c>
      <c r="AE71" s="340">
        <f>'Расчет базового уровня'!AQ71</f>
        <v>0</v>
      </c>
      <c r="AF71" s="374">
        <f>AE71</f>
        <v>0</v>
      </c>
      <c r="AG71" s="87"/>
      <c r="AH71" s="87"/>
      <c r="AI71" s="87"/>
      <c r="AJ71" s="87"/>
      <c r="AK71" s="87"/>
      <c r="AL71" s="87"/>
      <c r="AM71" s="87"/>
      <c r="AN71" s="87"/>
      <c r="AO71" s="87"/>
      <c r="AP71" s="87"/>
      <c r="AQ71" s="87"/>
      <c r="AR71" s="87"/>
      <c r="AS71" s="87"/>
      <c r="AT71" s="87"/>
      <c r="AU71" s="87"/>
    </row>
    <row r="72" spans="1:47" ht="17.100000000000001" customHeight="1" thickBot="1" x14ac:dyDescent="0.3">
      <c r="A72" s="375" t="s">
        <v>874</v>
      </c>
      <c r="B72" s="376" t="s">
        <v>1184</v>
      </c>
      <c r="C72" s="377" t="e">
        <f>0.86*C71/1000</f>
        <v>#DIV/0!</v>
      </c>
      <c r="D72" s="378" t="e">
        <f>C72</f>
        <v>#DIV/0!</v>
      </c>
      <c r="E72" s="87"/>
      <c r="F72" s="87"/>
      <c r="G72" s="379" t="s">
        <v>874</v>
      </c>
      <c r="H72" s="380" t="s">
        <v>1184</v>
      </c>
      <c r="I72" s="381"/>
      <c r="J72" s="382">
        <f>0.86*J71/1000</f>
        <v>0</v>
      </c>
      <c r="K72" s="381"/>
      <c r="L72" s="382">
        <f>0.86*L71/1000</f>
        <v>0</v>
      </c>
      <c r="M72" s="381"/>
      <c r="N72" s="383">
        <f>0.86*N71/1000</f>
        <v>0</v>
      </c>
      <c r="O72" s="381"/>
      <c r="P72" s="384">
        <f>0.86*P71/1000</f>
        <v>0</v>
      </c>
      <c r="Q72" s="381"/>
      <c r="R72" s="385">
        <f>0.86*R71/1000</f>
        <v>0</v>
      </c>
      <c r="S72" s="381"/>
      <c r="T72" s="386">
        <f>0.86*T71/1000</f>
        <v>0</v>
      </c>
      <c r="U72" s="381"/>
      <c r="V72" s="384">
        <f>0.86*V71/1000</f>
        <v>0</v>
      </c>
      <c r="W72" s="381"/>
      <c r="X72" s="387">
        <f>0.86*X71/1000</f>
        <v>0</v>
      </c>
      <c r="Y72" s="381"/>
      <c r="Z72" s="387">
        <f>0.86*Z71/1000</f>
        <v>0</v>
      </c>
      <c r="AA72" s="381"/>
      <c r="AB72" s="386">
        <f>0.86*AB71/1000</f>
        <v>0</v>
      </c>
      <c r="AC72" s="381"/>
      <c r="AD72" s="386">
        <f>0.86*AD71/1000</f>
        <v>0</v>
      </c>
      <c r="AE72" s="381"/>
      <c r="AF72" s="388">
        <f>0.86*AF71/1000</f>
        <v>0</v>
      </c>
      <c r="AG72" s="87"/>
      <c r="AH72" s="87"/>
      <c r="AI72" s="87"/>
      <c r="AJ72" s="87"/>
      <c r="AK72" s="87"/>
      <c r="AL72" s="87"/>
      <c r="AM72" s="87"/>
      <c r="AN72" s="87"/>
      <c r="AO72" s="87"/>
      <c r="AP72" s="87"/>
      <c r="AQ72" s="87"/>
      <c r="AR72" s="87"/>
      <c r="AS72" s="87"/>
      <c r="AT72" s="87"/>
      <c r="AU72" s="87"/>
    </row>
    <row r="73" spans="1:47" ht="8.25" customHeight="1" x14ac:dyDescent="0.25">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25">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25">
      <c r="A76" s="367" t="s">
        <v>1208</v>
      </c>
      <c r="B76" s="368" t="s">
        <v>1190</v>
      </c>
      <c r="C76" s="340" t="e">
        <f>'Расчет базового уровня'!D76</f>
        <v>#DIV/0!</v>
      </c>
      <c r="D76" s="410" t="e">
        <f>D35/('Ввод исходных данных'!$G$44+'Ввод исходных данных'!$D$22)</f>
        <v>#N/A</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75" thickBot="1" x14ac:dyDescent="0.3">
      <c r="A77" s="402" t="s">
        <v>874</v>
      </c>
      <c r="B77" s="414" t="s">
        <v>1209</v>
      </c>
      <c r="C77" s="415" t="e">
        <f>C76*0.86/1000</f>
        <v>#DIV/0!</v>
      </c>
      <c r="D77" s="416" t="e">
        <f>D76*0.86/1000</f>
        <v>#N/A</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2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5" customHeight="1" x14ac:dyDescent="0.25">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25">
      <c r="A80" s="424" t="e">
        <f>D38</f>
        <v>#N/A</v>
      </c>
      <c r="B80" s="425" t="e">
        <f>D62</f>
        <v>#VALUE!</v>
      </c>
      <c r="C80" s="425" t="e">
        <f>D65</f>
        <v>#VALUE!</v>
      </c>
      <c r="D80" s="426" t="e">
        <f>D68</f>
        <v>#DIV/0!</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2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
      <c r="A82" s="1780" t="s">
        <v>1210</v>
      </c>
      <c r="B82" s="1780"/>
      <c r="C82" s="1780"/>
      <c r="D82" s="1780"/>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50000000000003" customHeight="1" x14ac:dyDescent="0.25">
      <c r="A83" s="1810" t="s">
        <v>834</v>
      </c>
      <c r="B83" s="1812" t="s">
        <v>1174</v>
      </c>
      <c r="C83" s="1816" t="s">
        <v>1346</v>
      </c>
      <c r="D83" s="1814" t="s">
        <v>1411</v>
      </c>
      <c r="E83" s="87"/>
      <c r="F83" s="87"/>
      <c r="G83" s="1822" t="s">
        <v>834</v>
      </c>
      <c r="H83" s="1813" t="s">
        <v>1174</v>
      </c>
      <c r="I83" s="1823" t="s">
        <v>488</v>
      </c>
      <c r="J83" s="1824"/>
      <c r="K83" s="1823" t="s">
        <v>489</v>
      </c>
      <c r="L83" s="1824"/>
      <c r="M83" s="1823" t="s">
        <v>490</v>
      </c>
      <c r="N83" s="1824"/>
      <c r="O83" s="1823" t="s">
        <v>491</v>
      </c>
      <c r="P83" s="1824"/>
      <c r="Q83" s="1823" t="s">
        <v>805</v>
      </c>
      <c r="R83" s="1824"/>
      <c r="S83" s="1823" t="s">
        <v>806</v>
      </c>
      <c r="T83" s="1824"/>
      <c r="U83" s="1823" t="s">
        <v>807</v>
      </c>
      <c r="V83" s="1824"/>
      <c r="W83" s="1823" t="s">
        <v>808</v>
      </c>
      <c r="X83" s="1824"/>
      <c r="Y83" s="1823" t="s">
        <v>809</v>
      </c>
      <c r="Z83" s="1824"/>
      <c r="AA83" s="1823" t="s">
        <v>482</v>
      </c>
      <c r="AB83" s="1824"/>
      <c r="AC83" s="1823" t="s">
        <v>486</v>
      </c>
      <c r="AD83" s="1824"/>
      <c r="AE83" s="1823" t="s">
        <v>487</v>
      </c>
      <c r="AF83" s="1824"/>
      <c r="AG83" s="87"/>
      <c r="AH83" s="87"/>
      <c r="AI83" s="87"/>
      <c r="AJ83" s="87"/>
      <c r="AK83" s="87"/>
      <c r="AL83" s="87"/>
      <c r="AM83" s="87"/>
      <c r="AN83" s="87"/>
      <c r="AO83" s="87"/>
      <c r="AP83" s="87"/>
      <c r="AQ83" s="87"/>
      <c r="AR83" s="87"/>
      <c r="AS83" s="87"/>
      <c r="AT83" s="87"/>
      <c r="AU83" s="87"/>
      <c r="AV83" s="87"/>
      <c r="AW83" s="87"/>
    </row>
    <row r="84" spans="1:55" ht="45.75" customHeight="1" x14ac:dyDescent="0.25">
      <c r="A84" s="1811"/>
      <c r="B84" s="1813"/>
      <c r="C84" s="1807"/>
      <c r="D84" s="1815"/>
      <c r="E84" s="87"/>
      <c r="F84" s="87"/>
      <c r="G84" s="1822"/>
      <c r="H84" s="1813"/>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25">
      <c r="A85" s="432" t="s">
        <v>1212</v>
      </c>
      <c r="B85" s="433" t="s">
        <v>842</v>
      </c>
      <c r="C85" s="434">
        <f>'Расчет базового уровня'!D85</f>
        <v>0</v>
      </c>
      <c r="D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#DIV/0!</v>
      </c>
      <c r="E85" s="334"/>
      <c r="F85" s="436"/>
      <c r="G85" s="437" t="s">
        <v>1213</v>
      </c>
      <c r="H85" s="433" t="s">
        <v>842</v>
      </c>
      <c r="I85" s="438" t="e">
        <f>'Расчет базового уровня'!J85</f>
        <v>#N/A</v>
      </c>
      <c r="J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#N/A</v>
      </c>
      <c r="K85" s="438" t="e">
        <f>'Расчет базового уровня'!L85</f>
        <v>#N/A</v>
      </c>
      <c r="L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#N/A</v>
      </c>
      <c r="M85" s="438" t="e">
        <f>'Расчет базового уровня'!N85</f>
        <v>#N/A</v>
      </c>
      <c r="N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#N/A</v>
      </c>
      <c r="O85" s="438" t="e">
        <f>'Расчет базового уровня'!P85</f>
        <v>#N/A</v>
      </c>
      <c r="P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#N/A</v>
      </c>
      <c r="Q85" s="438" t="e">
        <f>'Расчет базового уровня'!R85</f>
        <v>#N/A</v>
      </c>
      <c r="R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#N/A</v>
      </c>
      <c r="S85" s="438" t="e">
        <f>'Расчет базового уровня'!T85</f>
        <v>#N/A</v>
      </c>
      <c r="T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#N/A</v>
      </c>
      <c r="U85" s="438" t="e">
        <f>'Расчет базового уровня'!V85</f>
        <v>#N/A</v>
      </c>
      <c r="V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#N/A</v>
      </c>
      <c r="W85" s="438" t="e">
        <f>'Расчет базового уровня'!X85</f>
        <v>#N/A</v>
      </c>
      <c r="X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#N/A</v>
      </c>
      <c r="Y85" s="438" t="e">
        <f>'Расчет базового уровня'!Z85</f>
        <v>#N/A</v>
      </c>
      <c r="Z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#N/A</v>
      </c>
      <c r="AA85" s="438" t="e">
        <f>'Расчет базового уровня'!AB85</f>
        <v>#N/A</v>
      </c>
      <c r="AB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#N/A</v>
      </c>
      <c r="AC85" s="438" t="e">
        <f>'Расчет базового уровня'!AD85</f>
        <v>#N/A</v>
      </c>
      <c r="AD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#N/A</v>
      </c>
      <c r="AE85" s="438" t="e">
        <f>'Расчет базового уровня'!AF85</f>
        <v>#N/A</v>
      </c>
      <c r="AF85" s="435" t="e">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#N/A</v>
      </c>
      <c r="AG85" s="87"/>
      <c r="AH85" s="87"/>
      <c r="AI85" s="87"/>
      <c r="AJ85" s="87"/>
      <c r="AK85" s="87"/>
      <c r="AL85" s="87"/>
      <c r="AM85" s="87"/>
      <c r="AN85" s="87"/>
      <c r="AO85" s="87"/>
      <c r="AP85" s="87"/>
      <c r="AQ85" s="87"/>
      <c r="AR85" s="87"/>
      <c r="AS85" s="87"/>
      <c r="AT85" s="87"/>
      <c r="AU85" s="87"/>
      <c r="AV85" s="87"/>
      <c r="AW85" s="87"/>
    </row>
    <row r="86" spans="1:55" x14ac:dyDescent="0.25">
      <c r="A86" s="439" t="s">
        <v>1347</v>
      </c>
      <c r="B86" s="433" t="s">
        <v>842</v>
      </c>
      <c r="C86" s="325"/>
      <c r="D86" s="325" t="e">
        <f>C85-D85</f>
        <v>#DIV/0!</v>
      </c>
      <c r="E86" s="87"/>
      <c r="F86" s="334"/>
      <c r="G86" s="440" t="s">
        <v>1347</v>
      </c>
      <c r="H86" s="433" t="s">
        <v>842</v>
      </c>
      <c r="I86" s="441"/>
      <c r="J86" s="441" t="e">
        <f>I85-J85</f>
        <v>#N/A</v>
      </c>
      <c r="K86" s="441"/>
      <c r="L86" s="441" t="e">
        <f>K85-L85</f>
        <v>#N/A</v>
      </c>
      <c r="M86" s="441"/>
      <c r="N86" s="441" t="e">
        <f>M85-N85</f>
        <v>#N/A</v>
      </c>
      <c r="O86" s="441"/>
      <c r="P86" s="441" t="e">
        <f>O85-P85</f>
        <v>#N/A</v>
      </c>
      <c r="Q86" s="441"/>
      <c r="R86" s="441" t="e">
        <f>Q85-R85</f>
        <v>#N/A</v>
      </c>
      <c r="S86" s="441"/>
      <c r="T86" s="441" t="e">
        <f>S85-T85</f>
        <v>#N/A</v>
      </c>
      <c r="U86" s="441"/>
      <c r="V86" s="441" t="e">
        <f>U85-V85</f>
        <v>#N/A</v>
      </c>
      <c r="W86" s="441"/>
      <c r="X86" s="441" t="e">
        <f>W85-X85</f>
        <v>#N/A</v>
      </c>
      <c r="Y86" s="441"/>
      <c r="Z86" s="441" t="e">
        <f>Y85-Z85</f>
        <v>#N/A</v>
      </c>
      <c r="AA86" s="441"/>
      <c r="AB86" s="441" t="e">
        <f>AA85-AB85</f>
        <v>#N/A</v>
      </c>
      <c r="AC86" s="441"/>
      <c r="AD86" s="441" t="e">
        <f>AC85-AD85</f>
        <v>#N/A</v>
      </c>
      <c r="AE86" s="441"/>
      <c r="AF86" s="441" t="e">
        <f>AE85-AF85</f>
        <v>#N/A</v>
      </c>
      <c r="AG86" s="87"/>
      <c r="AH86" s="87"/>
      <c r="AI86" s="87"/>
      <c r="AJ86" s="87"/>
      <c r="AK86" s="87"/>
      <c r="AL86" s="87"/>
      <c r="AM86" s="87"/>
      <c r="AN86" s="87"/>
      <c r="AO86" s="87"/>
      <c r="AP86" s="87"/>
      <c r="AQ86" s="87"/>
      <c r="AR86" s="87"/>
      <c r="AS86" s="87"/>
      <c r="AT86" s="87"/>
      <c r="AU86" s="87"/>
    </row>
    <row r="87" spans="1:55" x14ac:dyDescent="0.25">
      <c r="A87" s="439" t="s">
        <v>874</v>
      </c>
      <c r="B87" s="433" t="s">
        <v>1181</v>
      </c>
      <c r="C87" s="327"/>
      <c r="D87" s="327">
        <f>IF(C85=0,0,D86/C85)</f>
        <v>0</v>
      </c>
      <c r="E87" s="334"/>
      <c r="F87" s="87"/>
      <c r="G87" s="440" t="s">
        <v>874</v>
      </c>
      <c r="H87" s="433" t="s">
        <v>1181</v>
      </c>
      <c r="I87" s="442"/>
      <c r="J87" s="442" t="e">
        <f>IF(I85=0,0,J86/I85)</f>
        <v>#N/A</v>
      </c>
      <c r="K87" s="442"/>
      <c r="L87" s="442" t="e">
        <f>IF(K85=0,0,L86/K85)</f>
        <v>#N/A</v>
      </c>
      <c r="M87" s="442"/>
      <c r="N87" s="442" t="e">
        <f>IF(M85=0,0,N86/M85)</f>
        <v>#N/A</v>
      </c>
      <c r="O87" s="442"/>
      <c r="P87" s="442" t="e">
        <f>IF(O85=0,0,P86/O85)</f>
        <v>#N/A</v>
      </c>
      <c r="Q87" s="442"/>
      <c r="R87" s="442" t="e">
        <f>IF(Q85=0,0,R86/Q85)</f>
        <v>#N/A</v>
      </c>
      <c r="S87" s="442"/>
      <c r="T87" s="442" t="e">
        <f>IF(S85=0,0,T86/S85)</f>
        <v>#N/A</v>
      </c>
      <c r="U87" s="442"/>
      <c r="V87" s="442" t="e">
        <f>IF(U85=0,0,V86/U85)</f>
        <v>#N/A</v>
      </c>
      <c r="W87" s="442"/>
      <c r="X87" s="442" t="e">
        <f>IF(W85=0,0,X86/W85)</f>
        <v>#N/A</v>
      </c>
      <c r="Y87" s="442"/>
      <c r="Z87" s="442" t="e">
        <f>IF(Y85=0,0,Z86/Y85)</f>
        <v>#N/A</v>
      </c>
      <c r="AA87" s="442"/>
      <c r="AB87" s="442" t="e">
        <f>IF(AA85=0,0,AB86/AA85)</f>
        <v>#N/A</v>
      </c>
      <c r="AC87" s="442"/>
      <c r="AD87" s="442" t="e">
        <f>IF(AC85=0,0,AD86/AC85)</f>
        <v>#N/A</v>
      </c>
      <c r="AE87" s="442"/>
      <c r="AF87" s="442" t="e">
        <f>IF(AE85=0,0,AF86/AE85)</f>
        <v>#N/A</v>
      </c>
      <c r="AG87" s="87"/>
      <c r="AH87" s="87"/>
      <c r="AI87" s="87"/>
      <c r="AJ87" s="87"/>
      <c r="AK87" s="87"/>
      <c r="AL87" s="87"/>
      <c r="AM87" s="87"/>
      <c r="AN87" s="87"/>
      <c r="AO87" s="87"/>
      <c r="AP87" s="87"/>
      <c r="AQ87" s="87"/>
      <c r="AR87" s="87"/>
      <c r="AS87" s="87"/>
      <c r="AT87" s="87"/>
      <c r="AU87" s="87"/>
    </row>
    <row r="88" spans="1:55" x14ac:dyDescent="0.25">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25">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25">
      <c r="A90" s="432" t="s">
        <v>1216</v>
      </c>
      <c r="B90" s="433" t="s">
        <v>1217</v>
      </c>
      <c r="C90" s="434">
        <f>'Расчет базового уровня'!D90</f>
        <v>0</v>
      </c>
      <c r="D90" s="274">
        <f>C90*IF(AND('Система ГВС'!$F$17=0,'Список мероприятий'!$AB$39=1),0.9,1)</f>
        <v>0</v>
      </c>
      <c r="E90" s="87"/>
      <c r="F90" s="87"/>
      <c r="G90" s="448" t="s">
        <v>1219</v>
      </c>
      <c r="H90" s="433" t="s">
        <v>1217</v>
      </c>
      <c r="I90" s="438">
        <f>'Расчет базового уровня'!J90</f>
        <v>0</v>
      </c>
      <c r="J90" s="274">
        <f>I90*IF(AND('Система ГВС'!$F$17=0,'Список мероприятий'!$AB$39=1),0.9,1)</f>
        <v>0</v>
      </c>
      <c r="K90" s="438">
        <f>'Расчет базового уровня'!L90</f>
        <v>0</v>
      </c>
      <c r="L90" s="274">
        <f>K90*IF(AND('Система ГВС'!$F$17=0,'Список мероприятий'!$AB$39=1),0.9,1)</f>
        <v>0</v>
      </c>
      <c r="M90" s="438">
        <f>'Расчет базового уровня'!N90</f>
        <v>0</v>
      </c>
      <c r="N90" s="274">
        <f>M90*IF(AND('Система ГВС'!$F$17=0,'Список мероприятий'!$AB$39=1),0.9,1)</f>
        <v>0</v>
      </c>
      <c r="O90" s="438">
        <f>'Расчет базового уровня'!P90</f>
        <v>0</v>
      </c>
      <c r="P90" s="274">
        <f>O90*IF(AND('Система ГВС'!$F$17=0,'Список мероприятий'!$AB$39=1),0.9,1)</f>
        <v>0</v>
      </c>
      <c r="Q90" s="438">
        <f>'Расчет базового уровня'!R90</f>
        <v>0</v>
      </c>
      <c r="R90" s="274">
        <f>Q90*IF(AND('Система ГВС'!$F$17=0,'Список мероприятий'!$AB$39=1),0.9,1)</f>
        <v>0</v>
      </c>
      <c r="S90" s="438">
        <f>'Расчет базового уровня'!T90</f>
        <v>0</v>
      </c>
      <c r="T90" s="274">
        <f>S90*IF(AND('Система ГВС'!$F$17=0,'Список мероприятий'!$AB$39=1),0.9,1)</f>
        <v>0</v>
      </c>
      <c r="U90" s="438">
        <f>'Расчет базового уровня'!V90</f>
        <v>0</v>
      </c>
      <c r="V90" s="274">
        <f>U90*IF(AND('Система ГВС'!$F$17=0,'Список мероприятий'!$AB$39=1),0.9,1)</f>
        <v>0</v>
      </c>
      <c r="W90" s="438">
        <f>'Расчет базового уровня'!X90</f>
        <v>0</v>
      </c>
      <c r="X90" s="274">
        <f>W90*IF(AND('Система ГВС'!$F$17=0,'Список мероприятий'!$AB$39=1),0.9,1)</f>
        <v>0</v>
      </c>
      <c r="Y90" s="438">
        <f>'Расчет базового уровня'!Z90</f>
        <v>0</v>
      </c>
      <c r="Z90" s="274">
        <f>Y90*IF(AND('Система ГВС'!$F$17=0,'Список мероприятий'!$AB$39=1),0.9,1)</f>
        <v>0</v>
      </c>
      <c r="AA90" s="438">
        <f>'Расчет базового уровня'!AB90</f>
        <v>0</v>
      </c>
      <c r="AB90" s="274">
        <f>AA90*IF(AND('Система ГВС'!$F$17=0,'Список мероприятий'!$AB$39=1),0.9,1)</f>
        <v>0</v>
      </c>
      <c r="AC90" s="438">
        <f>'Расчет базового уровня'!AD90</f>
        <v>0</v>
      </c>
      <c r="AD90" s="274">
        <f>AC90*IF(AND('Система ГВС'!$F$17=0,'Список мероприятий'!$AB$39=1),0.9,1)</f>
        <v>0</v>
      </c>
      <c r="AE90" s="438">
        <f>'Расчет базового уровня'!AF90</f>
        <v>0</v>
      </c>
      <c r="AF90" s="274">
        <f>AE90*IF(AND('Система ГВС'!$F$17=0,'Список мероприятий'!$AB$39=1),0.9,1)</f>
        <v>0</v>
      </c>
      <c r="AG90" s="87"/>
      <c r="AH90" s="87"/>
      <c r="AI90" s="87"/>
      <c r="AJ90" s="87"/>
      <c r="AK90" s="87"/>
      <c r="AL90" s="87"/>
      <c r="AM90" s="87"/>
      <c r="AN90" s="87"/>
      <c r="AO90" s="87"/>
      <c r="AP90" s="87"/>
      <c r="AQ90" s="87"/>
      <c r="AR90" s="87"/>
      <c r="AS90" s="87"/>
      <c r="AT90" s="87"/>
      <c r="AU90" s="87"/>
      <c r="AV90" s="87"/>
      <c r="AW90" s="87"/>
    </row>
    <row r="91" spans="1:55" x14ac:dyDescent="0.25">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25">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25">
      <c r="A93" s="449" t="s">
        <v>1221</v>
      </c>
      <c r="B93" s="326" t="s">
        <v>1190</v>
      </c>
      <c r="C93" s="434" t="e">
        <f>'Расчет базового уровня'!D93</f>
        <v>#DIV/0!</v>
      </c>
      <c r="D93" s="450" t="e">
        <f>D85/('Ввод исходных данных'!$G$44+'Ввод исходных данных'!$D$22)</f>
        <v>#DIV/0!</v>
      </c>
      <c r="E93" s="87"/>
      <c r="F93" s="87"/>
      <c r="G93" s="87"/>
      <c r="H93" s="87"/>
      <c r="I93" s="87">
        <f>IF(G146&gt;14,1,0)</f>
        <v>1</v>
      </c>
      <c r="J93" s="87"/>
      <c r="K93" s="87">
        <f>IF(H146&gt;14,1,0)</f>
        <v>0</v>
      </c>
      <c r="L93" s="87"/>
      <c r="M93" s="87">
        <f>IF(I146&gt;14,1,0)</f>
        <v>0</v>
      </c>
      <c r="O93" s="87">
        <f>IF(J146&gt;14,1,0)</f>
        <v>0</v>
      </c>
      <c r="Q93" s="87">
        <f>IF(K146&gt;14,1,0)</f>
        <v>0</v>
      </c>
      <c r="S93" s="87">
        <f>IF(L146&gt;14,1,0)</f>
        <v>0</v>
      </c>
      <c r="U93" s="87">
        <f>IF(M146&gt;14,1,0)</f>
        <v>0</v>
      </c>
      <c r="W93" s="87">
        <f>IF(N146&gt;14,1,0)</f>
        <v>1</v>
      </c>
      <c r="Y93" s="87">
        <f>IF(O146&gt;14,1,0)</f>
        <v>1</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x14ac:dyDescent="0.25">
      <c r="A94" s="439" t="s">
        <v>874</v>
      </c>
      <c r="B94" s="451" t="s">
        <v>1209</v>
      </c>
      <c r="C94" s="452"/>
      <c r="D94" s="453" t="e">
        <f>D86/('Ввод исходных данных'!$G$44+'Ввод исходных данных'!$D$22)</f>
        <v>#DIV/0!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75" thickBot="1" x14ac:dyDescent="0.3">
      <c r="A95" s="454" t="s">
        <v>1222</v>
      </c>
      <c r="B95" s="455" t="s">
        <v>789</v>
      </c>
      <c r="C95" s="456"/>
      <c r="D95" s="457">
        <f>IF('Система ГВС'!F3=2,0,D166)</f>
        <v>85</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2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5" thickBot="1" x14ac:dyDescent="0.3">
      <c r="A97" s="1775" t="s">
        <v>1186</v>
      </c>
      <c r="B97" s="1775"/>
      <c r="C97" s="1775"/>
      <c r="D97" s="1775"/>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25">
      <c r="A98" s="1817" t="s">
        <v>834</v>
      </c>
      <c r="B98" s="1812" t="s">
        <v>1174</v>
      </c>
      <c r="C98" s="1821" t="s">
        <v>1346</v>
      </c>
      <c r="D98" s="1819" t="s">
        <v>1411</v>
      </c>
      <c r="E98" s="87"/>
      <c r="F98" s="87"/>
      <c r="G98" s="1817" t="s">
        <v>834</v>
      </c>
      <c r="H98" s="1812" t="s">
        <v>1174</v>
      </c>
      <c r="I98" s="1812" t="s">
        <v>488</v>
      </c>
      <c r="J98" s="1812"/>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25">
      <c r="A99" s="1818"/>
      <c r="B99" s="1813"/>
      <c r="C99" s="1822"/>
      <c r="D99" s="1820"/>
      <c r="E99" s="87"/>
      <c r="F99" s="87"/>
      <c r="G99" s="1818"/>
      <c r="H99" s="1813"/>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25">
      <c r="A100" s="463" t="s">
        <v>1224</v>
      </c>
      <c r="B100" s="433" t="s">
        <v>842</v>
      </c>
      <c r="C100" s="441">
        <f>'Расчет базового уровня'!D100</f>
        <v>0</v>
      </c>
      <c r="D100" s="464" t="e">
        <f>D102+D104+D106+D111</f>
        <v>#N/A</v>
      </c>
      <c r="E100" s="334"/>
      <c r="F100" s="87"/>
      <c r="G100" s="463" t="s">
        <v>1225</v>
      </c>
      <c r="H100" s="433" t="s">
        <v>842</v>
      </c>
      <c r="I100" s="441">
        <f>'Расчет базового уровня'!J100</f>
        <v>0</v>
      </c>
      <c r="J100" s="465" t="e">
        <f>J102+J104+J106+J111</f>
        <v>#N/A</v>
      </c>
      <c r="K100" s="441">
        <f>'Расчет базового уровня'!L100</f>
        <v>0</v>
      </c>
      <c r="L100" s="465" t="e">
        <f>L102+L104+L106+L111</f>
        <v>#N/A</v>
      </c>
      <c r="M100" s="441">
        <f>'Расчет базового уровня'!N100</f>
        <v>0</v>
      </c>
      <c r="N100" s="465" t="e">
        <f>N102+N104+N106+N111</f>
        <v>#N/A</v>
      </c>
      <c r="O100" s="441">
        <f>'Расчет базового уровня'!P100</f>
        <v>0</v>
      </c>
      <c r="P100" s="465" t="e">
        <f>P102+P104+P106+P111</f>
        <v>#N/A</v>
      </c>
      <c r="Q100" s="441">
        <f>'Расчет базового уровня'!R100</f>
        <v>0</v>
      </c>
      <c r="R100" s="465" t="e">
        <f>R102+R104+R106+R111</f>
        <v>#N/A</v>
      </c>
      <c r="S100" s="441">
        <f>'Расчет базового уровня'!T100</f>
        <v>0</v>
      </c>
      <c r="T100" s="465" t="e">
        <f>T102+T104+T106+T111</f>
        <v>#N/A</v>
      </c>
      <c r="U100" s="441">
        <f>'Расчет базового уровня'!V100</f>
        <v>0</v>
      </c>
      <c r="V100" s="466" t="e">
        <f>V102+V104+V106+V111</f>
        <v>#N/A</v>
      </c>
      <c r="W100" s="441">
        <f>'Расчет базового уровня'!X100</f>
        <v>0</v>
      </c>
      <c r="X100" s="465" t="e">
        <f>X102+X104+X106+X111</f>
        <v>#N/A</v>
      </c>
      <c r="Y100" s="441">
        <f>'Расчет базового уровня'!Z100</f>
        <v>0</v>
      </c>
      <c r="Z100" s="465" t="e">
        <f>Z102+Z104+Z106+Z111</f>
        <v>#N/A</v>
      </c>
      <c r="AA100" s="441">
        <f>'Расчет базового уровня'!AB100</f>
        <v>0</v>
      </c>
      <c r="AB100" s="467" t="e">
        <f>AB102+AB104+AB106+AB111</f>
        <v>#N/A</v>
      </c>
      <c r="AC100" s="441">
        <f>'Расчет базового уровня'!AD100</f>
        <v>0</v>
      </c>
      <c r="AD100" s="441" t="e">
        <f>AD102+AD104+AD106+AD111</f>
        <v>#N/A</v>
      </c>
      <c r="AE100" s="441">
        <f>'Расчет базового уровня'!AF100</f>
        <v>0</v>
      </c>
      <c r="AF100" s="468" t="e">
        <f>AF102+AF104+AF106+AF111</f>
        <v>#N/A</v>
      </c>
      <c r="AG100" s="87"/>
      <c r="AH100" s="87"/>
      <c r="AI100" s="87"/>
      <c r="AJ100" s="87"/>
      <c r="AK100" s="87"/>
      <c r="AL100" s="87"/>
      <c r="AM100" s="87"/>
      <c r="AN100" s="87"/>
      <c r="AO100" s="87"/>
      <c r="AP100" s="87"/>
      <c r="AQ100" s="87"/>
      <c r="AR100" s="87"/>
    </row>
    <row r="101" spans="1:51" ht="18.95" customHeight="1" x14ac:dyDescent="0.25">
      <c r="A101" s="469" t="s">
        <v>1348</v>
      </c>
      <c r="B101" s="433" t="s">
        <v>1181</v>
      </c>
      <c r="C101" s="445"/>
      <c r="D101" s="470">
        <f>IF(C100=0,0,D100/C100-1)</f>
        <v>0</v>
      </c>
      <c r="E101" s="87"/>
      <c r="F101" s="87"/>
      <c r="G101" s="469" t="s">
        <v>1348</v>
      </c>
      <c r="H101" s="433" t="s">
        <v>1181</v>
      </c>
      <c r="I101" s="445"/>
      <c r="J101" s="442">
        <f>IF(I100=0,0,J100/I100-1)</f>
        <v>0</v>
      </c>
      <c r="K101" s="445"/>
      <c r="L101" s="442">
        <f>IF(K100=0,0,L100/K100-1)</f>
        <v>0</v>
      </c>
      <c r="M101" s="445"/>
      <c r="N101" s="442">
        <f>IF(M100=0,0,N100/M100-1)</f>
        <v>0</v>
      </c>
      <c r="O101" s="445"/>
      <c r="P101" s="442">
        <f>IF(O100=0,0,P100/O100-1)</f>
        <v>0</v>
      </c>
      <c r="Q101" s="445"/>
      <c r="R101" s="442">
        <f>IF(Q100=0,0,R100/Q100-1)</f>
        <v>0</v>
      </c>
      <c r="S101" s="445"/>
      <c r="T101" s="442">
        <f>IF(S100=0,0,T100/S100-1)</f>
        <v>0</v>
      </c>
      <c r="U101" s="445"/>
      <c r="V101" s="442">
        <f>IF(U100=0,0,V100/U100-1)</f>
        <v>0</v>
      </c>
      <c r="W101" s="445"/>
      <c r="X101" s="442">
        <f>IF(W100=0,0,X100/W100-1)</f>
        <v>0</v>
      </c>
      <c r="Y101" s="445"/>
      <c r="Z101" s="442">
        <f>IF(Y100=0,0,Z100/Y100-1)</f>
        <v>0</v>
      </c>
      <c r="AA101" s="445"/>
      <c r="AB101" s="442">
        <f>IF(AA100=0,0,AB100/AA100-1)</f>
        <v>0</v>
      </c>
      <c r="AC101" s="445"/>
      <c r="AD101" s="442">
        <f>IF(AC100=0,0,AD100/AC100-1)</f>
        <v>0</v>
      </c>
      <c r="AE101" s="445"/>
      <c r="AF101" s="470">
        <f>IF(AE100=0,0,AF100/AE100-1)</f>
        <v>0</v>
      </c>
      <c r="AG101" s="87"/>
      <c r="AH101" s="87"/>
      <c r="AI101" s="87"/>
      <c r="AJ101" s="87"/>
      <c r="AK101" s="87"/>
      <c r="AL101" s="87"/>
      <c r="AM101" s="87"/>
      <c r="AN101" s="87"/>
      <c r="AO101" s="87"/>
      <c r="AP101" s="87"/>
      <c r="AQ101" s="87"/>
      <c r="AR101" s="87"/>
    </row>
    <row r="102" spans="1:51" ht="26.45" customHeight="1" x14ac:dyDescent="0.25">
      <c r="A102" s="471" t="s">
        <v>1226</v>
      </c>
      <c r="B102" s="433" t="s">
        <v>842</v>
      </c>
      <c r="C102" s="441">
        <f>'Расчет базового уровня'!D102</f>
        <v>0</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0</v>
      </c>
      <c r="E102" s="472"/>
      <c r="F102" s="87"/>
      <c r="G102" s="471" t="s">
        <v>1226</v>
      </c>
      <c r="H102" s="433" t="s">
        <v>842</v>
      </c>
      <c r="I102" s="441">
        <f>'Расчет базового уровня'!J102</f>
        <v>0</v>
      </c>
      <c r="J102" s="441">
        <f>$D$102/12</f>
        <v>0</v>
      </c>
      <c r="K102" s="441">
        <f>'Расчет базового уровня'!L102</f>
        <v>0</v>
      </c>
      <c r="L102" s="441">
        <f>$D$102/12</f>
        <v>0</v>
      </c>
      <c r="M102" s="441">
        <f>'Расчет базового уровня'!N102</f>
        <v>0</v>
      </c>
      <c r="N102" s="441">
        <f>$D$102/12</f>
        <v>0</v>
      </c>
      <c r="O102" s="441">
        <f>'Расчет базового уровня'!P102</f>
        <v>0</v>
      </c>
      <c r="P102" s="441">
        <f>$D$102/12</f>
        <v>0</v>
      </c>
      <c r="Q102" s="441">
        <f>'Расчет базового уровня'!R102</f>
        <v>0</v>
      </c>
      <c r="R102" s="441">
        <f>$D$102/12</f>
        <v>0</v>
      </c>
      <c r="S102" s="441">
        <f>'Расчет базового уровня'!T102</f>
        <v>0</v>
      </c>
      <c r="T102" s="441">
        <f>$D$102/12</f>
        <v>0</v>
      </c>
      <c r="U102" s="441">
        <f>'Расчет базового уровня'!V102</f>
        <v>0</v>
      </c>
      <c r="V102" s="467">
        <f>$D$102/12</f>
        <v>0</v>
      </c>
      <c r="W102" s="441">
        <f>'Расчет базового уровня'!X102</f>
        <v>0</v>
      </c>
      <c r="X102" s="441">
        <f>$D$102/12</f>
        <v>0</v>
      </c>
      <c r="Y102" s="441">
        <f>'Расчет базового уровня'!Z102</f>
        <v>0</v>
      </c>
      <c r="Z102" s="441">
        <f>$D$102/12</f>
        <v>0</v>
      </c>
      <c r="AA102" s="441">
        <f>'Расчет базового уровня'!AB102</f>
        <v>0</v>
      </c>
      <c r="AB102" s="467">
        <f>$D$102/12</f>
        <v>0</v>
      </c>
      <c r="AC102" s="441">
        <f>'Расчет базового уровня'!AD102</f>
        <v>0</v>
      </c>
      <c r="AD102" s="441">
        <f>$D$102/12</f>
        <v>0</v>
      </c>
      <c r="AE102" s="441">
        <f>'Расчет базового уровня'!AF102</f>
        <v>0</v>
      </c>
      <c r="AF102" s="468">
        <f>$D$102/12</f>
        <v>0</v>
      </c>
      <c r="AG102" s="87"/>
      <c r="AH102" s="87"/>
      <c r="AI102" s="87"/>
      <c r="AJ102" s="87"/>
      <c r="AK102" s="87"/>
      <c r="AL102" s="87"/>
      <c r="AM102" s="87"/>
      <c r="AN102" s="87"/>
      <c r="AO102" s="87"/>
      <c r="AP102" s="87"/>
      <c r="AQ102" s="87"/>
      <c r="AR102" s="87"/>
    </row>
    <row r="103" spans="1:51" x14ac:dyDescent="0.25">
      <c r="A103" s="469" t="s">
        <v>874</v>
      </c>
      <c r="B103" s="433" t="s">
        <v>1181</v>
      </c>
      <c r="C103" s="445"/>
      <c r="D103" s="470">
        <f>IF(C102=0,0,D102/C102-1)</f>
        <v>0</v>
      </c>
      <c r="E103" s="87"/>
      <c r="F103" s="87"/>
      <c r="G103" s="469" t="s">
        <v>1348</v>
      </c>
      <c r="H103" s="433" t="s">
        <v>1181</v>
      </c>
      <c r="I103" s="445"/>
      <c r="J103" s="442">
        <f>IF(I102=0,0,J102/I102-1)</f>
        <v>0</v>
      </c>
      <c r="K103" s="445"/>
      <c r="L103" s="442">
        <f>IF(K102=0,0,L102/K102-1)</f>
        <v>0</v>
      </c>
      <c r="M103" s="445"/>
      <c r="N103" s="442">
        <f>IF(M102=0,0,N102/M102-1)</f>
        <v>0</v>
      </c>
      <c r="O103" s="445"/>
      <c r="P103" s="442">
        <f>IF(O102=0,0,P102/O102-1)</f>
        <v>0</v>
      </c>
      <c r="Q103" s="445"/>
      <c r="R103" s="442">
        <f>IF(Q102=0,0,R102/Q102-1)</f>
        <v>0</v>
      </c>
      <c r="S103" s="445"/>
      <c r="T103" s="442">
        <f>IF(S102=0,0,T102/S102-1)</f>
        <v>0</v>
      </c>
      <c r="U103" s="445"/>
      <c r="V103" s="442">
        <f>IF(U102=0,0,V102/U102-1)</f>
        <v>0</v>
      </c>
      <c r="W103" s="445"/>
      <c r="X103" s="442">
        <f>IF(W102=0,0,X102/W102-1)</f>
        <v>0</v>
      </c>
      <c r="Y103" s="445"/>
      <c r="Z103" s="442">
        <f>IF(Y102=0,0,Z102/Y102-1)</f>
        <v>0</v>
      </c>
      <c r="AA103" s="445"/>
      <c r="AB103" s="442">
        <f>IF(AA102=0,0,AB102/AA102-1)</f>
        <v>0</v>
      </c>
      <c r="AC103" s="445"/>
      <c r="AD103" s="442">
        <f>IF(AC102=0,0,AD102/AC102-1)</f>
        <v>0</v>
      </c>
      <c r="AE103" s="445"/>
      <c r="AF103" s="470">
        <f>IF(AE102=0,0,AF102/AE102-1)</f>
        <v>0</v>
      </c>
      <c r="AG103" s="87"/>
      <c r="AH103" s="87"/>
      <c r="AI103" s="87"/>
      <c r="AJ103" s="87"/>
      <c r="AK103" s="87"/>
      <c r="AL103" s="87"/>
      <c r="AM103" s="87"/>
      <c r="AN103" s="87"/>
      <c r="AO103" s="87"/>
      <c r="AP103" s="87"/>
      <c r="AQ103" s="87"/>
      <c r="AR103" s="87"/>
    </row>
    <row r="104" spans="1:51" x14ac:dyDescent="0.25">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25">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25">
      <c r="A106" s="471" t="s">
        <v>1235</v>
      </c>
      <c r="B106" s="433" t="s">
        <v>842</v>
      </c>
      <c r="C106" s="441">
        <f>'Расчет базового уровня'!D106</f>
        <v>0</v>
      </c>
      <c r="D106" s="464" t="e">
        <f>D108+D109+D110</f>
        <v>#N/A</v>
      </c>
      <c r="E106" s="334"/>
      <c r="F106" s="334"/>
      <c r="G106" s="471" t="s">
        <v>1234</v>
      </c>
      <c r="H106" s="433" t="s">
        <v>842</v>
      </c>
      <c r="I106" s="441">
        <f>'Расчет базового уровня'!J106</f>
        <v>0</v>
      </c>
      <c r="J106" s="464" t="e">
        <f>J108+J109+J110</f>
        <v>#N/A</v>
      </c>
      <c r="K106" s="441">
        <f>'Расчет базового уровня'!L106</f>
        <v>0</v>
      </c>
      <c r="L106" s="464" t="e">
        <f>L108+L109+L110</f>
        <v>#N/A</v>
      </c>
      <c r="M106" s="441">
        <f>'Расчет базового уровня'!N106</f>
        <v>0</v>
      </c>
      <c r="N106" s="464" t="e">
        <f>N108+N109+N110</f>
        <v>#N/A</v>
      </c>
      <c r="O106" s="441">
        <f>'Расчет базового уровня'!P106</f>
        <v>0</v>
      </c>
      <c r="P106" s="464" t="e">
        <f>P108+P109+P110</f>
        <v>#N/A</v>
      </c>
      <c r="Q106" s="441">
        <f>'Расчет базового уровня'!R106</f>
        <v>0</v>
      </c>
      <c r="R106" s="464" t="e">
        <f>R108+R109+R110</f>
        <v>#N/A</v>
      </c>
      <c r="S106" s="441">
        <f>'Расчет базового уровня'!T106</f>
        <v>0</v>
      </c>
      <c r="T106" s="464" t="e">
        <f>T108+T109+T110</f>
        <v>#N/A</v>
      </c>
      <c r="U106" s="441">
        <f>'Расчет базового уровня'!V106</f>
        <v>0</v>
      </c>
      <c r="V106" s="464" t="e">
        <f>V108+V109+V110</f>
        <v>#N/A</v>
      </c>
      <c r="W106" s="441">
        <f>'Расчет базового уровня'!X106</f>
        <v>0</v>
      </c>
      <c r="X106" s="464" t="e">
        <f>X108+X109+X110</f>
        <v>#N/A</v>
      </c>
      <c r="Y106" s="441">
        <f>'Расчет базового уровня'!Z106</f>
        <v>0</v>
      </c>
      <c r="Z106" s="464" t="e">
        <f>Z108+Z109+Z110</f>
        <v>#N/A</v>
      </c>
      <c r="AA106" s="441">
        <f>'Расчет базового уровня'!AB106</f>
        <v>0</v>
      </c>
      <c r="AB106" s="464" t="e">
        <f>AB108+AB109+AB110</f>
        <v>#N/A</v>
      </c>
      <c r="AC106" s="441">
        <f>'Расчет базового уровня'!AD106</f>
        <v>0</v>
      </c>
      <c r="AD106" s="464" t="e">
        <f>AD108+AD109+AD110</f>
        <v>#N/A</v>
      </c>
      <c r="AE106" s="441">
        <f>'Расчет базового уровня'!AF106</f>
        <v>0</v>
      </c>
      <c r="AF106" s="464" t="e">
        <f>AF108+AF109+AF110</f>
        <v>#N/A</v>
      </c>
      <c r="AG106" s="87"/>
      <c r="AH106" s="87"/>
      <c r="AI106" s="87"/>
      <c r="AJ106" s="87"/>
      <c r="AK106" s="87"/>
      <c r="AL106" s="87"/>
      <c r="AM106" s="87"/>
      <c r="AN106" s="87"/>
      <c r="AO106" s="87"/>
      <c r="AP106" s="87"/>
      <c r="AQ106" s="87"/>
      <c r="AR106" s="87"/>
    </row>
    <row r="107" spans="1:51" ht="23.25" customHeight="1" x14ac:dyDescent="0.25">
      <c r="A107" s="469" t="s">
        <v>874</v>
      </c>
      <c r="B107" s="433" t="s">
        <v>1181</v>
      </c>
      <c r="C107" s="445"/>
      <c r="D107" s="470">
        <f>IF(C106=0,0,D106/C106-1)</f>
        <v>0</v>
      </c>
      <c r="E107" s="87"/>
      <c r="F107" s="87"/>
      <c r="G107" s="469" t="s">
        <v>1348</v>
      </c>
      <c r="H107" s="433" t="s">
        <v>1181</v>
      </c>
      <c r="I107" s="445"/>
      <c r="J107" s="442">
        <f>IF(I106=0,0,J106/I106-1)</f>
        <v>0</v>
      </c>
      <c r="K107" s="445"/>
      <c r="L107" s="442">
        <f>IF(K106=0,0,L106/K106-1)</f>
        <v>0</v>
      </c>
      <c r="M107" s="445"/>
      <c r="N107" s="442">
        <f>IF(M106=0,0,N106/M106-1)</f>
        <v>0</v>
      </c>
      <c r="O107" s="445"/>
      <c r="P107" s="442">
        <f>IF(O106=0,0,P106/O106-1)</f>
        <v>0</v>
      </c>
      <c r="Q107" s="445"/>
      <c r="R107" s="442">
        <f>IF(Q106=0,0,R106/Q106-1)</f>
        <v>0</v>
      </c>
      <c r="S107" s="445"/>
      <c r="T107" s="442">
        <f>IF(S106=0,0,T106/S106-1)</f>
        <v>0</v>
      </c>
      <c r="U107" s="445"/>
      <c r="V107" s="442">
        <f>IF(U106=0,0,V106/U106-1)</f>
        <v>0</v>
      </c>
      <c r="W107" s="445"/>
      <c r="X107" s="442">
        <f>IF(W106=0,0,X106/W106-1)</f>
        <v>0</v>
      </c>
      <c r="Y107" s="445"/>
      <c r="Z107" s="442">
        <f>IF(Y106=0,0,Z106/Y106-1)</f>
        <v>0</v>
      </c>
      <c r="AA107" s="445"/>
      <c r="AB107" s="442">
        <f>IF(AA106=0,0,AB106/AA106-1)</f>
        <v>0</v>
      </c>
      <c r="AC107" s="445"/>
      <c r="AD107" s="442">
        <f>IF(AC106=0,0,AD106/AC106-1)</f>
        <v>0</v>
      </c>
      <c r="AE107" s="445"/>
      <c r="AF107" s="470">
        <f>IF(AE106=0,0,AF106/AE106-1)</f>
        <v>0</v>
      </c>
      <c r="AG107" s="87"/>
      <c r="AH107" s="87"/>
      <c r="AI107" s="87"/>
      <c r="AJ107" s="87"/>
      <c r="AK107" s="87"/>
      <c r="AL107" s="87"/>
      <c r="AM107" s="87"/>
      <c r="AN107" s="87"/>
      <c r="AO107" s="87"/>
      <c r="AP107" s="87"/>
      <c r="AQ107" s="87"/>
      <c r="AR107" s="87"/>
    </row>
    <row r="108" spans="1:51" ht="12.75" customHeight="1" x14ac:dyDescent="0.25">
      <c r="A108" s="469" t="s">
        <v>998</v>
      </c>
      <c r="B108" s="433" t="s">
        <v>842</v>
      </c>
      <c r="C108" s="441">
        <f>'Расчет базового уровня'!D108</f>
        <v>0</v>
      </c>
      <c r="D108" s="476" t="e">
        <f>'Система электроснабжения'!C51</f>
        <v>#N/A</v>
      </c>
      <c r="E108" s="436"/>
      <c r="F108" s="87"/>
      <c r="G108" s="469" t="s">
        <v>998</v>
      </c>
      <c r="H108" s="433" t="s">
        <v>842</v>
      </c>
      <c r="I108" s="445"/>
      <c r="J108" s="476" t="e">
        <f>'Система электроснабжения'!$E$51</f>
        <v>#N/A</v>
      </c>
      <c r="K108" s="445"/>
      <c r="L108" s="476" t="e">
        <f>'Система электроснабжения'!$F$51</f>
        <v>#N/A</v>
      </c>
      <c r="M108" s="445"/>
      <c r="N108" s="476" t="e">
        <f>'Система электроснабжения'!$G$50</f>
        <v>#N/A</v>
      </c>
      <c r="O108" s="445"/>
      <c r="P108" s="476" t="e">
        <f>'Система электроснабжения'!$H$50</f>
        <v>#N/A</v>
      </c>
      <c r="Q108" s="445"/>
      <c r="R108" s="476" t="e">
        <f>'Система электроснабжения'!$I$50</f>
        <v>#N/A</v>
      </c>
      <c r="S108" s="445"/>
      <c r="T108" s="476" t="e">
        <f>'Система электроснабжения'!$J$50</f>
        <v>#N/A</v>
      </c>
      <c r="U108" s="445"/>
      <c r="V108" s="476" t="e">
        <f>'Система электроснабжения'!$K$50</f>
        <v>#N/A</v>
      </c>
      <c r="W108" s="445"/>
      <c r="X108" s="476" t="e">
        <f>'Система электроснабжения'!$L$50</f>
        <v>#N/A</v>
      </c>
      <c r="Y108" s="445"/>
      <c r="Z108" s="476" t="e">
        <f>'Система электроснабжения'!$M$50</f>
        <v>#N/A</v>
      </c>
      <c r="AA108" s="445"/>
      <c r="AB108" s="476" t="e">
        <f>'Система электроснабжения'!$N$50</f>
        <v>#N/A</v>
      </c>
      <c r="AC108" s="445"/>
      <c r="AD108" s="476" t="e">
        <f>'Система электроснабжения'!$O$50</f>
        <v>#N/A</v>
      </c>
      <c r="AE108" s="445"/>
      <c r="AF108" s="476" t="e">
        <f>'Система электроснабжения'!$P$50</f>
        <v>#N/A</v>
      </c>
      <c r="AG108" s="87"/>
      <c r="AH108" s="87"/>
      <c r="AI108" s="87"/>
      <c r="AJ108" s="87"/>
      <c r="AK108" s="87"/>
      <c r="AL108" s="87"/>
      <c r="AM108" s="87"/>
      <c r="AN108" s="87"/>
      <c r="AO108" s="87"/>
      <c r="AP108" s="87"/>
      <c r="AQ108" s="87"/>
      <c r="AR108" s="87"/>
    </row>
    <row r="109" spans="1:51" ht="12.75" customHeight="1" x14ac:dyDescent="0.25">
      <c r="A109" s="469" t="s">
        <v>541</v>
      </c>
      <c r="B109" s="433" t="s">
        <v>842</v>
      </c>
      <c r="C109" s="441">
        <f>'Расчет базового уровня'!D109</f>
        <v>0</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87"/>
      <c r="AH109" s="87"/>
      <c r="AI109" s="87"/>
      <c r="AJ109" s="87"/>
      <c r="AK109" s="87"/>
      <c r="AL109" s="87"/>
      <c r="AM109" s="87"/>
      <c r="AN109" s="87"/>
      <c r="AO109" s="87"/>
      <c r="AP109" s="87"/>
      <c r="AQ109" s="87"/>
      <c r="AR109" s="87"/>
    </row>
    <row r="110" spans="1:51" ht="12.75" customHeight="1" x14ac:dyDescent="0.25">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25">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25">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25">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75" thickBot="1" x14ac:dyDescent="0.3">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75" thickBot="1" x14ac:dyDescent="0.3">
      <c r="A115" s="479" t="s">
        <v>1230</v>
      </c>
      <c r="B115" s="480" t="s">
        <v>1190</v>
      </c>
      <c r="C115" s="481" t="e">
        <f>'Расчет базового уровня'!D115</f>
        <v>#DIV/0!</v>
      </c>
      <c r="D115" s="482" t="e">
        <f>D100/('Ввод исходных данных'!$G$44+'Ввод исходных данных'!$D$22)</f>
        <v>#N/A</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2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2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2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2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2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2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2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2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2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2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2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2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2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25">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25">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25">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25">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25">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25">
      <c r="A134" s="497" t="s">
        <v>514</v>
      </c>
      <c r="B134" s="498">
        <f>'Расчет базового уровня'!B134</f>
        <v>0</v>
      </c>
      <c r="C134" s="499" t="e">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#N/A</v>
      </c>
      <c r="D134" s="498">
        <v>1</v>
      </c>
      <c r="E134" s="500" t="e">
        <f>IF(C134=0,0,B134/C134*D134)*(1-D163)</f>
        <v>#N/A</v>
      </c>
      <c r="F134" s="501" t="e">
        <f>E134*(20-$D$145)</f>
        <v>#N/A</v>
      </c>
      <c r="G134" s="500" t="e">
        <f t="shared" ref="G134:R134" si="0">$E$134*0.024*G$147</f>
        <v>#N/A</v>
      </c>
      <c r="H134" s="500" t="e">
        <f t="shared" si="0"/>
        <v>#N/A</v>
      </c>
      <c r="I134" s="500" t="e">
        <f t="shared" si="0"/>
        <v>#N/A</v>
      </c>
      <c r="J134" s="500" t="e">
        <f t="shared" si="0"/>
        <v>#N/A</v>
      </c>
      <c r="K134" s="500" t="e">
        <f t="shared" si="0"/>
        <v>#N/A</v>
      </c>
      <c r="L134" s="500" t="e">
        <f t="shared" si="0"/>
        <v>#N/A</v>
      </c>
      <c r="M134" s="500" t="e">
        <f t="shared" si="0"/>
        <v>#N/A</v>
      </c>
      <c r="N134" s="500" t="e">
        <f t="shared" si="0"/>
        <v>#N/A</v>
      </c>
      <c r="O134" s="500" t="e">
        <f t="shared" si="0"/>
        <v>#N/A</v>
      </c>
      <c r="P134" s="500" t="e">
        <f t="shared" si="0"/>
        <v>#N/A</v>
      </c>
      <c r="Q134" s="500" t="e">
        <f t="shared" si="0"/>
        <v>#N/A</v>
      </c>
      <c r="R134" s="500" t="e">
        <f t="shared" si="0"/>
        <v>#N/A</v>
      </c>
      <c r="S134" s="502"/>
      <c r="T134" s="87"/>
      <c r="U134" s="87"/>
      <c r="V134" s="87"/>
      <c r="W134" s="87"/>
      <c r="X134" s="87"/>
      <c r="Y134" s="87"/>
      <c r="Z134" s="87"/>
      <c r="AA134" s="87"/>
      <c r="AB134" s="87"/>
    </row>
    <row r="135" spans="1:55" x14ac:dyDescent="0.25">
      <c r="A135" s="497" t="s">
        <v>611</v>
      </c>
      <c r="B135" s="498">
        <f>'Расчет базового уровня'!B135</f>
        <v>0</v>
      </c>
      <c r="C135" s="498" t="e">
        <f>'Расчет базового уровня'!C135</f>
        <v>#N/A</v>
      </c>
      <c r="D135" s="498">
        <v>1</v>
      </c>
      <c r="E135" s="500" t="e">
        <f t="shared" ref="E135:E141" si="1">IF(C135=0,0,B135/C135*D135)</f>
        <v>#N/A</v>
      </c>
      <c r="F135" s="501" t="e">
        <f t="shared" ref="F135:F143" si="2">E135*(20-$D$145)</f>
        <v>#N/A</v>
      </c>
      <c r="G135" s="500" t="e">
        <f t="shared" ref="G135:R135" si="3">$E$135*0.024*G$147</f>
        <v>#N/A</v>
      </c>
      <c r="H135" s="500" t="e">
        <f t="shared" si="3"/>
        <v>#N/A</v>
      </c>
      <c r="I135" s="500" t="e">
        <f t="shared" si="3"/>
        <v>#N/A</v>
      </c>
      <c r="J135" s="500" t="e">
        <f t="shared" si="3"/>
        <v>#N/A</v>
      </c>
      <c r="K135" s="500" t="e">
        <f t="shared" si="3"/>
        <v>#N/A</v>
      </c>
      <c r="L135" s="500" t="e">
        <f t="shared" si="3"/>
        <v>#N/A</v>
      </c>
      <c r="M135" s="500" t="e">
        <f t="shared" si="3"/>
        <v>#N/A</v>
      </c>
      <c r="N135" s="500" t="e">
        <f t="shared" si="3"/>
        <v>#N/A</v>
      </c>
      <c r="O135" s="500" t="e">
        <f t="shared" si="3"/>
        <v>#N/A</v>
      </c>
      <c r="P135" s="500" t="e">
        <f t="shared" si="3"/>
        <v>#N/A</v>
      </c>
      <c r="Q135" s="500" t="e">
        <f t="shared" si="3"/>
        <v>#N/A</v>
      </c>
      <c r="R135" s="500" t="e">
        <f t="shared" si="3"/>
        <v>#N/A</v>
      </c>
      <c r="S135" s="502"/>
      <c r="T135" s="87"/>
      <c r="U135" s="87"/>
      <c r="V135" s="87"/>
      <c r="W135" s="87"/>
      <c r="X135" s="87"/>
      <c r="Y135" s="87"/>
      <c r="Z135" s="87"/>
      <c r="AA135" s="87"/>
      <c r="AB135" s="87"/>
    </row>
    <row r="136" spans="1:55" x14ac:dyDescent="0.25">
      <c r="A136" s="497" t="s">
        <v>612</v>
      </c>
      <c r="B136" s="498">
        <f>'Расчет базового уровня'!B136</f>
        <v>0</v>
      </c>
      <c r="C136" s="498" t="e">
        <f>IF('Список мероприятий'!AB14=1,VLOOKUP('Список мероприятий'!D15,'Библиотека технологий'!A40:B47,2,0),'Расчет базового уровня'!C136)</f>
        <v>#DIV/0!</v>
      </c>
      <c r="D136" s="498">
        <v>1</v>
      </c>
      <c r="E136" s="500" t="e">
        <f t="shared" si="1"/>
        <v>#DIV/0!</v>
      </c>
      <c r="F136" s="501" t="e">
        <f t="shared" si="2"/>
        <v>#DIV/0!</v>
      </c>
      <c r="G136" s="500" t="e">
        <f t="shared" ref="G136:R136" si="4">$E$136*0.024*G$147</f>
        <v>#DIV/0!</v>
      </c>
      <c r="H136" s="500" t="e">
        <f t="shared" si="4"/>
        <v>#DIV/0!</v>
      </c>
      <c r="I136" s="500" t="e">
        <f t="shared" si="4"/>
        <v>#DIV/0!</v>
      </c>
      <c r="J136" s="500" t="e">
        <f t="shared" si="4"/>
        <v>#DIV/0!</v>
      </c>
      <c r="K136" s="500" t="e">
        <f t="shared" si="4"/>
        <v>#DIV/0!</v>
      </c>
      <c r="L136" s="500" t="e">
        <f t="shared" si="4"/>
        <v>#DIV/0!</v>
      </c>
      <c r="M136" s="500" t="e">
        <f t="shared" si="4"/>
        <v>#DIV/0!</v>
      </c>
      <c r="N136" s="500" t="e">
        <f t="shared" si="4"/>
        <v>#DIV/0!</v>
      </c>
      <c r="O136" s="500" t="e">
        <f t="shared" si="4"/>
        <v>#DIV/0!</v>
      </c>
      <c r="P136" s="500" t="e">
        <f t="shared" si="4"/>
        <v>#DIV/0!</v>
      </c>
      <c r="Q136" s="500" t="e">
        <f t="shared" si="4"/>
        <v>#DIV/0!</v>
      </c>
      <c r="R136" s="500" t="e">
        <f t="shared" si="4"/>
        <v>#DIV/0!</v>
      </c>
      <c r="S136" s="502"/>
      <c r="T136" s="87"/>
      <c r="U136" s="87"/>
      <c r="V136" s="87"/>
      <c r="W136" s="87"/>
      <c r="X136" s="87"/>
      <c r="Y136" s="87"/>
      <c r="Z136" s="87"/>
      <c r="AA136" s="87"/>
      <c r="AB136" s="87"/>
    </row>
    <row r="137" spans="1:55" x14ac:dyDescent="0.25">
      <c r="A137" s="497" t="s">
        <v>1608</v>
      </c>
      <c r="B137" s="500">
        <f>'Расчет базового уровня'!B137</f>
        <v>0</v>
      </c>
      <c r="C137" s="503">
        <f>'Расчет базового уровня'!C137</f>
        <v>0.4</v>
      </c>
      <c r="D137" s="500">
        <f>'Расчет базового уровня'!D137</f>
        <v>1</v>
      </c>
      <c r="E137" s="500">
        <f>'Расчет базового уровня'!E137</f>
        <v>0</v>
      </c>
      <c r="F137" s="501" t="e">
        <f t="shared" si="2"/>
        <v>#N/A</v>
      </c>
      <c r="G137" s="500" t="e">
        <f>'Расчет базового уровня'!G137</f>
        <v>#N/A</v>
      </c>
      <c r="H137" s="500" t="e">
        <f>'Расчет базового уровня'!H137</f>
        <v>#N/A</v>
      </c>
      <c r="I137" s="500" t="e">
        <f>'Расчет базового уровня'!I137</f>
        <v>#N/A</v>
      </c>
      <c r="J137" s="500" t="e">
        <f>'Расчет базового уровня'!J137</f>
        <v>#N/A</v>
      </c>
      <c r="K137" s="500" t="e">
        <f>'Расчет базового уровня'!K137</f>
        <v>#N/A</v>
      </c>
      <c r="L137" s="500" t="e">
        <f>'Расчет базового уровня'!L137</f>
        <v>#N/A</v>
      </c>
      <c r="M137" s="500" t="e">
        <f>'Расчет базового уровня'!M137</f>
        <v>#N/A</v>
      </c>
      <c r="N137" s="500" t="e">
        <f>'Расчет базового уровня'!N137</f>
        <v>#N/A</v>
      </c>
      <c r="O137" s="500" t="e">
        <f>'Расчет базового уровня'!O137</f>
        <v>#N/A</v>
      </c>
      <c r="P137" s="500" t="e">
        <f>'Расчет базового уровня'!P137</f>
        <v>#N/A</v>
      </c>
      <c r="Q137" s="500" t="e">
        <f>'Расчет базового уровня'!Q137</f>
        <v>#N/A</v>
      </c>
      <c r="R137" s="500" t="e">
        <f>'Расчет базового уровня'!R137</f>
        <v>#N/A</v>
      </c>
      <c r="S137" s="502"/>
      <c r="T137" s="87"/>
      <c r="U137" s="87"/>
      <c r="V137" s="87"/>
      <c r="W137" s="87"/>
      <c r="X137" s="87"/>
      <c r="Y137" s="87"/>
      <c r="Z137" s="87"/>
      <c r="AA137" s="87"/>
      <c r="AB137" s="87"/>
    </row>
    <row r="138" spans="1:55" x14ac:dyDescent="0.25">
      <c r="A138" s="497" t="s">
        <v>1337</v>
      </c>
      <c r="B138" s="498">
        <f>'Расчет базового уровня'!B138</f>
        <v>0</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98">
        <v>1</v>
      </c>
      <c r="E138" s="500">
        <f t="shared" si="1"/>
        <v>0</v>
      </c>
      <c r="F138" s="501" t="e">
        <f t="shared" si="2"/>
        <v>#N/A</v>
      </c>
      <c r="G138" s="500">
        <f t="shared" ref="G138:R138" si="5">$E$138*0.024*G$147</f>
        <v>0</v>
      </c>
      <c r="H138" s="500">
        <f t="shared" si="5"/>
        <v>0</v>
      </c>
      <c r="I138" s="500">
        <f t="shared" si="5"/>
        <v>0</v>
      </c>
      <c r="J138" s="500">
        <f t="shared" si="5"/>
        <v>0</v>
      </c>
      <c r="K138" s="500">
        <f t="shared" si="5"/>
        <v>0</v>
      </c>
      <c r="L138" s="500">
        <f t="shared" si="5"/>
        <v>0</v>
      </c>
      <c r="M138" s="500">
        <f t="shared" si="5"/>
        <v>0</v>
      </c>
      <c r="N138" s="500">
        <f t="shared" si="5"/>
        <v>0</v>
      </c>
      <c r="O138" s="500">
        <f t="shared" si="5"/>
        <v>0</v>
      </c>
      <c r="P138" s="500">
        <f t="shared" si="5"/>
        <v>0</v>
      </c>
      <c r="Q138" s="500">
        <f t="shared" si="5"/>
        <v>0</v>
      </c>
      <c r="R138" s="500">
        <f t="shared" si="5"/>
        <v>0</v>
      </c>
      <c r="S138" s="502"/>
      <c r="T138" s="87"/>
      <c r="U138" s="87"/>
      <c r="V138" s="87"/>
      <c r="W138" s="87"/>
      <c r="X138" s="87"/>
      <c r="Y138" s="87"/>
      <c r="Z138" s="87"/>
      <c r="AA138" s="87"/>
      <c r="AB138" s="87"/>
    </row>
    <row r="139" spans="1:55" x14ac:dyDescent="0.25">
      <c r="A139" s="497" t="s">
        <v>1338</v>
      </c>
      <c r="B139" s="498">
        <f>IF('Список мероприятий'!AB24=0,'Расчет базового уровня'!B139,'Расчет базового уровня'!B140+'Расчет базового уровня'!B139)</f>
        <v>0</v>
      </c>
      <c r="C139" s="504" t="e">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#N/A</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1</v>
      </c>
      <c r="E139" s="500" t="e">
        <f>IF(C139=0,0,B139/C139*D139)</f>
        <v>#N/A</v>
      </c>
      <c r="F139" s="501" t="e">
        <f t="shared" si="2"/>
        <v>#N/A</v>
      </c>
      <c r="G139" s="500" t="e">
        <f t="shared" ref="G139:R140" si="6">$E$139*0.024*G$147</f>
        <v>#N/A</v>
      </c>
      <c r="H139" s="500" t="e">
        <f t="shared" si="6"/>
        <v>#N/A</v>
      </c>
      <c r="I139" s="500" t="e">
        <f t="shared" si="6"/>
        <v>#N/A</v>
      </c>
      <c r="J139" s="500" t="e">
        <f t="shared" si="6"/>
        <v>#N/A</v>
      </c>
      <c r="K139" s="500" t="e">
        <f t="shared" si="6"/>
        <v>#N/A</v>
      </c>
      <c r="L139" s="500" t="e">
        <f t="shared" si="6"/>
        <v>#N/A</v>
      </c>
      <c r="M139" s="500" t="e">
        <f t="shared" si="6"/>
        <v>#N/A</v>
      </c>
      <c r="N139" s="500" t="e">
        <f t="shared" si="6"/>
        <v>#N/A</v>
      </c>
      <c r="O139" s="500" t="e">
        <f t="shared" si="6"/>
        <v>#N/A</v>
      </c>
      <c r="P139" s="500" t="e">
        <f t="shared" si="6"/>
        <v>#N/A</v>
      </c>
      <c r="Q139" s="500" t="e">
        <f t="shared" si="6"/>
        <v>#N/A</v>
      </c>
      <c r="R139" s="500" t="e">
        <f t="shared" si="6"/>
        <v>#N/A</v>
      </c>
      <c r="S139" s="502"/>
      <c r="T139" s="87"/>
      <c r="U139" s="87"/>
      <c r="V139" s="87"/>
      <c r="W139" s="87"/>
      <c r="X139" s="87"/>
      <c r="Y139" s="87"/>
      <c r="Z139" s="87"/>
      <c r="AA139" s="87"/>
      <c r="AB139" s="87"/>
    </row>
    <row r="140" spans="1:55" x14ac:dyDescent="0.25">
      <c r="A140" s="497" t="s">
        <v>1339</v>
      </c>
      <c r="B140" s="498">
        <f>'Расчет базового уровня'!B140+'Расчет базового уровня'!B139-'Расчет после реализации'!B139</f>
        <v>0</v>
      </c>
      <c r="C140" s="504" t="e">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#N/A</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1</v>
      </c>
      <c r="E140" s="500" t="e">
        <f>IF(C140=0,0,B140/C140*D140)</f>
        <v>#N/A</v>
      </c>
      <c r="F140" s="501" t="e">
        <f t="shared" si="2"/>
        <v>#N/A</v>
      </c>
      <c r="G140" s="500" t="e">
        <f t="shared" si="6"/>
        <v>#N/A</v>
      </c>
      <c r="H140" s="500" t="e">
        <f t="shared" si="6"/>
        <v>#N/A</v>
      </c>
      <c r="I140" s="500" t="e">
        <f t="shared" si="6"/>
        <v>#N/A</v>
      </c>
      <c r="J140" s="500" t="e">
        <f t="shared" si="6"/>
        <v>#N/A</v>
      </c>
      <c r="K140" s="500" t="e">
        <f t="shared" si="6"/>
        <v>#N/A</v>
      </c>
      <c r="L140" s="500" t="e">
        <f t="shared" si="6"/>
        <v>#N/A</v>
      </c>
      <c r="M140" s="500" t="e">
        <f t="shared" si="6"/>
        <v>#N/A</v>
      </c>
      <c r="N140" s="500" t="e">
        <f t="shared" si="6"/>
        <v>#N/A</v>
      </c>
      <c r="O140" s="500" t="e">
        <f t="shared" si="6"/>
        <v>#N/A</v>
      </c>
      <c r="P140" s="500" t="e">
        <f t="shared" si="6"/>
        <v>#N/A</v>
      </c>
      <c r="Q140" s="500" t="e">
        <f t="shared" si="6"/>
        <v>#N/A</v>
      </c>
      <c r="R140" s="500" t="e">
        <f t="shared" si="6"/>
        <v>#N/A</v>
      </c>
      <c r="S140" s="502"/>
      <c r="T140" s="87"/>
      <c r="U140" s="87"/>
      <c r="V140" s="87"/>
      <c r="W140" s="87"/>
      <c r="X140" s="87"/>
      <c r="Y140" s="87"/>
      <c r="Z140" s="87"/>
      <c r="AA140" s="87"/>
      <c r="AB140" s="87"/>
    </row>
    <row r="141" spans="1:55" x14ac:dyDescent="0.25">
      <c r="A141" s="497" t="s">
        <v>1340</v>
      </c>
      <c r="B141" s="498">
        <f>'Расчет базового уровня'!B141</f>
        <v>0</v>
      </c>
      <c r="C141" s="504" t="e">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#N/A</v>
      </c>
      <c r="D141" s="498">
        <v>1</v>
      </c>
      <c r="E141" s="500" t="e">
        <f t="shared" si="1"/>
        <v>#N/A</v>
      </c>
      <c r="F141" s="501" t="e">
        <f t="shared" si="2"/>
        <v>#N/A</v>
      </c>
      <c r="G141" s="500" t="e">
        <f t="shared" ref="G141:R141" si="7">$E$141*0.024*G$147</f>
        <v>#N/A</v>
      </c>
      <c r="H141" s="500" t="e">
        <f t="shared" si="7"/>
        <v>#N/A</v>
      </c>
      <c r="I141" s="500" t="e">
        <f t="shared" si="7"/>
        <v>#N/A</v>
      </c>
      <c r="J141" s="500" t="e">
        <f t="shared" si="7"/>
        <v>#N/A</v>
      </c>
      <c r="K141" s="500" t="e">
        <f t="shared" si="7"/>
        <v>#N/A</v>
      </c>
      <c r="L141" s="500" t="e">
        <f t="shared" si="7"/>
        <v>#N/A</v>
      </c>
      <c r="M141" s="500" t="e">
        <f t="shared" si="7"/>
        <v>#N/A</v>
      </c>
      <c r="N141" s="500" t="e">
        <f t="shared" si="7"/>
        <v>#N/A</v>
      </c>
      <c r="O141" s="500" t="e">
        <f t="shared" si="7"/>
        <v>#N/A</v>
      </c>
      <c r="P141" s="500" t="e">
        <f t="shared" si="7"/>
        <v>#N/A</v>
      </c>
      <c r="Q141" s="500" t="e">
        <f t="shared" si="7"/>
        <v>#N/A</v>
      </c>
      <c r="R141" s="500" t="e">
        <f t="shared" si="7"/>
        <v>#N/A</v>
      </c>
      <c r="S141" s="502"/>
      <c r="T141" s="87"/>
      <c r="U141" s="87"/>
      <c r="V141" s="87"/>
      <c r="W141" s="87"/>
      <c r="X141" s="87"/>
      <c r="Y141" s="87"/>
      <c r="Z141" s="87"/>
      <c r="AA141" s="87"/>
      <c r="AB141" s="87"/>
    </row>
    <row r="142" spans="1:55" x14ac:dyDescent="0.25">
      <c r="A142" s="497" t="s">
        <v>1336</v>
      </c>
      <c r="B142" s="498">
        <f>'Расчет базового уровня'!B142</f>
        <v>0</v>
      </c>
      <c r="C142" s="504" t="e">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#N/A</v>
      </c>
      <c r="D142" s="503" t="e">
        <f>('Ввод исходных данных'!D82-'Расчет базового уровня'!$D$160)/('Ввод исходных данных'!D82-'Расчет базового уровня'!$D$145)</f>
        <v>#N/A</v>
      </c>
      <c r="E142" s="500" t="e">
        <f>IF(C142=0,0,B142/C142*D142)</f>
        <v>#N/A</v>
      </c>
      <c r="F142" s="501" t="e">
        <f t="shared" si="2"/>
        <v>#N/A</v>
      </c>
      <c r="G142" s="500" t="e">
        <f t="shared" ref="G142:R142" si="8">$E$142*0.024*G$147</f>
        <v>#N/A</v>
      </c>
      <c r="H142" s="500" t="e">
        <f t="shared" si="8"/>
        <v>#N/A</v>
      </c>
      <c r="I142" s="500" t="e">
        <f t="shared" si="8"/>
        <v>#N/A</v>
      </c>
      <c r="J142" s="500" t="e">
        <f t="shared" si="8"/>
        <v>#N/A</v>
      </c>
      <c r="K142" s="500" t="e">
        <f t="shared" si="8"/>
        <v>#N/A</v>
      </c>
      <c r="L142" s="500" t="e">
        <f t="shared" si="8"/>
        <v>#N/A</v>
      </c>
      <c r="M142" s="500" t="e">
        <f t="shared" si="8"/>
        <v>#N/A</v>
      </c>
      <c r="N142" s="500" t="e">
        <f t="shared" si="8"/>
        <v>#N/A</v>
      </c>
      <c r="O142" s="500" t="e">
        <f t="shared" si="8"/>
        <v>#N/A</v>
      </c>
      <c r="P142" s="500" t="e">
        <f t="shared" si="8"/>
        <v>#N/A</v>
      </c>
      <c r="Q142" s="500" t="e">
        <f t="shared" si="8"/>
        <v>#N/A</v>
      </c>
      <c r="R142" s="500" t="e">
        <f t="shared" si="8"/>
        <v>#N/A</v>
      </c>
      <c r="S142" s="502"/>
      <c r="T142" s="87"/>
      <c r="U142" s="87"/>
      <c r="V142" s="87"/>
      <c r="W142" s="87"/>
      <c r="X142" s="87"/>
      <c r="Y142" s="87"/>
      <c r="Z142" s="87"/>
      <c r="AA142" s="87"/>
      <c r="AB142" s="87"/>
    </row>
    <row r="143" spans="1:55" x14ac:dyDescent="0.25">
      <c r="A143" s="497" t="s">
        <v>1231</v>
      </c>
      <c r="B143" s="498">
        <f>'Расчет базового уровня'!B143</f>
        <v>0</v>
      </c>
      <c r="C143" s="498">
        <f>IF('Список мероприятий'!AB73=1,0.95,'Расчет базового уровня'!C143)</f>
        <v>0.5</v>
      </c>
      <c r="D143" s="503">
        <v>1</v>
      </c>
      <c r="E143" s="500">
        <f>IF(C143=0,0,B143/C143*D143)</f>
        <v>0</v>
      </c>
      <c r="F143" s="501" t="e">
        <f t="shared" si="2"/>
        <v>#N/A</v>
      </c>
      <c r="G143" s="500">
        <f>$E$143*0.024*G$147</f>
        <v>0</v>
      </c>
      <c r="H143" s="500">
        <f t="shared" ref="H143:R143" si="9">$E$143*0.024*H$147</f>
        <v>0</v>
      </c>
      <c r="I143" s="500">
        <f t="shared" si="9"/>
        <v>0</v>
      </c>
      <c r="J143" s="500">
        <f t="shared" si="9"/>
        <v>0</v>
      </c>
      <c r="K143" s="500">
        <f t="shared" si="9"/>
        <v>0</v>
      </c>
      <c r="L143" s="500">
        <f t="shared" si="9"/>
        <v>0</v>
      </c>
      <c r="M143" s="500">
        <f t="shared" si="9"/>
        <v>0</v>
      </c>
      <c r="N143" s="500">
        <f t="shared" si="9"/>
        <v>0</v>
      </c>
      <c r="O143" s="500">
        <f t="shared" si="9"/>
        <v>0</v>
      </c>
      <c r="P143" s="500">
        <f t="shared" si="9"/>
        <v>0</v>
      </c>
      <c r="Q143" s="500">
        <f t="shared" si="9"/>
        <v>0</v>
      </c>
      <c r="R143" s="500">
        <f t="shared" si="9"/>
        <v>0</v>
      </c>
      <c r="S143" s="502"/>
      <c r="T143" s="87"/>
      <c r="U143" s="87"/>
      <c r="V143" s="87"/>
      <c r="W143" s="87"/>
      <c r="X143" s="87"/>
      <c r="Y143" s="87"/>
      <c r="Z143" s="87"/>
      <c r="AA143" s="87"/>
      <c r="AB143" s="87"/>
    </row>
    <row r="144" spans="1:55" x14ac:dyDescent="0.25">
      <c r="A144" s="497" t="s">
        <v>515</v>
      </c>
      <c r="B144" s="498">
        <f>SUM(B134:B142)</f>
        <v>0</v>
      </c>
      <c r="C144" s="498"/>
      <c r="D144" s="498"/>
      <c r="E144" s="500" t="e">
        <f>SUM(E134:E143)</f>
        <v>#N/A</v>
      </c>
      <c r="F144" s="501" t="e">
        <f>E144*(20-$D$145)/1000</f>
        <v>#N/A</v>
      </c>
      <c r="G144" s="500" t="e">
        <f>SUM(G134:G143)</f>
        <v>#N/A</v>
      </c>
      <c r="H144" s="500" t="e">
        <f t="shared" ref="H144:R144" si="10">SUM(H134:H143)</f>
        <v>#N/A</v>
      </c>
      <c r="I144" s="500" t="e">
        <f t="shared" si="10"/>
        <v>#N/A</v>
      </c>
      <c r="J144" s="500" t="e">
        <f t="shared" si="10"/>
        <v>#N/A</v>
      </c>
      <c r="K144" s="500" t="e">
        <f t="shared" si="10"/>
        <v>#N/A</v>
      </c>
      <c r="L144" s="500" t="e">
        <f t="shared" si="10"/>
        <v>#N/A</v>
      </c>
      <c r="M144" s="500" t="e">
        <f t="shared" si="10"/>
        <v>#N/A</v>
      </c>
      <c r="N144" s="500" t="e">
        <f t="shared" si="10"/>
        <v>#N/A</v>
      </c>
      <c r="O144" s="500" t="e">
        <f t="shared" si="10"/>
        <v>#N/A</v>
      </c>
      <c r="P144" s="500" t="e">
        <f t="shared" si="10"/>
        <v>#N/A</v>
      </c>
      <c r="Q144" s="500" t="e">
        <f t="shared" si="10"/>
        <v>#N/A</v>
      </c>
      <c r="R144" s="500" t="e">
        <f t="shared" si="10"/>
        <v>#N/A</v>
      </c>
      <c r="S144" s="502"/>
      <c r="T144" s="87"/>
      <c r="U144" s="87"/>
      <c r="V144" s="87"/>
      <c r="W144" s="87"/>
      <c r="X144" s="87"/>
      <c r="Y144" s="87"/>
      <c r="Z144" s="87"/>
      <c r="AA144" s="87"/>
      <c r="AB144" s="87"/>
    </row>
    <row r="145" spans="1:28" x14ac:dyDescent="0.25">
      <c r="A145" s="87"/>
      <c r="B145" s="505" t="s">
        <v>742</v>
      </c>
      <c r="C145" s="506" t="s">
        <v>747</v>
      </c>
      <c r="D145" s="498" t="e">
        <f>VLOOKUP(CONCATENATE('Ввод исходных данных'!$D$10,'Ввод исходных данных'!$D$11),Климатология!$D$9:$BF$548,4,0)</f>
        <v>#N/A</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25">
      <c r="A146" s="87"/>
      <c r="B146" s="505" t="s">
        <v>1414</v>
      </c>
      <c r="C146" s="506" t="s">
        <v>748</v>
      </c>
      <c r="D146" s="498">
        <f>'Ввод исходных данных'!D245</f>
        <v>0</v>
      </c>
      <c r="E146" s="87"/>
      <c r="F146" s="87"/>
      <c r="G146" s="507">
        <f>'Ввод исходных данных'!$I$251</f>
        <v>31</v>
      </c>
      <c r="H146" s="507">
        <f>'Ввод исходных данных'!$I$252</f>
        <v>0</v>
      </c>
      <c r="I146" s="507">
        <f>'Ввод исходных данных'!$I$253</f>
        <v>0</v>
      </c>
      <c r="J146" s="507">
        <f>'Ввод исходных данных'!$I$254</f>
        <v>0</v>
      </c>
      <c r="K146" s="507">
        <f>'Ввод исходных данных'!$I$255</f>
        <v>0</v>
      </c>
      <c r="L146" s="507">
        <f>'Ввод исходных данных'!$I$256</f>
        <v>0</v>
      </c>
      <c r="M146" s="507">
        <f>'Ввод исходных данных'!$I$257</f>
        <v>0</v>
      </c>
      <c r="N146" s="507">
        <f>'Ввод исходных данных'!$I$258</f>
        <v>31</v>
      </c>
      <c r="O146" s="507">
        <f>'Ввод исходных данных'!$I$259</f>
        <v>30</v>
      </c>
      <c r="P146" s="507">
        <f>'Ввод исходных данных'!$I$260</f>
        <v>31</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25">
      <c r="A147" s="87"/>
      <c r="B147" s="505" t="s">
        <v>462</v>
      </c>
      <c r="C147" s="506" t="s">
        <v>749</v>
      </c>
      <c r="D147" s="498" t="e">
        <f>'Ввод исходных данных'!G263</f>
        <v>#VALUE!</v>
      </c>
      <c r="E147" s="87"/>
      <c r="F147" s="87"/>
      <c r="G147" s="507">
        <f>'Ввод исходных данных'!$G$251</f>
        <v>620</v>
      </c>
      <c r="H147" s="507">
        <f>'Ввод исходных данных'!$G$252</f>
        <v>0</v>
      </c>
      <c r="I147" s="507">
        <f>'Ввод исходных данных'!$G$253</f>
        <v>0</v>
      </c>
      <c r="J147" s="507">
        <f>'Ввод исходных данных'!$G$254</f>
        <v>0</v>
      </c>
      <c r="K147" s="507">
        <f>'Ввод исходных данных'!$G$255</f>
        <v>0</v>
      </c>
      <c r="L147" s="507">
        <f>'Ввод исходных данных'!$G$256</f>
        <v>0</v>
      </c>
      <c r="M147" s="507">
        <f>'Ввод исходных данных'!$G$257</f>
        <v>0</v>
      </c>
      <c r="N147" s="507">
        <f>'Ввод исходных данных'!$G$258</f>
        <v>0</v>
      </c>
      <c r="O147" s="507">
        <f>'Ввод исходных данных'!$G$259</f>
        <v>600</v>
      </c>
      <c r="P147" s="507">
        <f>'Ввод исходных данных'!$G$260</f>
        <v>620</v>
      </c>
      <c r="Q147" s="507">
        <f>'Ввод исходных данных'!$G$261</f>
        <v>600</v>
      </c>
      <c r="R147" s="507">
        <f>'Ввод исходных данных'!$G$262</f>
        <v>620</v>
      </c>
      <c r="S147" s="87"/>
      <c r="T147" s="87"/>
      <c r="U147" s="87"/>
      <c r="V147" s="87"/>
      <c r="W147" s="87"/>
      <c r="X147" s="87"/>
      <c r="Y147" s="87"/>
      <c r="Z147" s="87"/>
      <c r="AA147" s="87"/>
      <c r="AB147" s="87"/>
    </row>
    <row r="148" spans="1:28" x14ac:dyDescent="0.25">
      <c r="A148" s="508" t="s">
        <v>497</v>
      </c>
      <c r="B148" s="509" t="s">
        <v>531</v>
      </c>
      <c r="C148" s="510" t="s">
        <v>498</v>
      </c>
      <c r="D148" s="511" t="e">
        <f>IF(D149&gt;45,10,IF(D149&lt;=20,17,17-(D149-20)*7/25))</f>
        <v>#DIV/0!</v>
      </c>
      <c r="E148" s="87"/>
      <c r="F148" s="512">
        <f>17*D150/1000</f>
        <v>0</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25">
      <c r="A149" s="508" t="s">
        <v>499</v>
      </c>
      <c r="B149" s="509" t="s">
        <v>500</v>
      </c>
      <c r="C149" s="510" t="s">
        <v>501</v>
      </c>
      <c r="D149" s="513" t="e">
        <f>'Ввод исходных данных'!G44/'Ввод исходных данных'!$D$21</f>
        <v>#DIV/0!</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25">
      <c r="A150" s="493" t="s">
        <v>1412</v>
      </c>
      <c r="B150" s="509" t="s">
        <v>1413</v>
      </c>
      <c r="C150" s="514" t="s">
        <v>492</v>
      </c>
      <c r="D150" s="513">
        <f>'Расчет базового уровня'!D150</f>
        <v>0</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25">
      <c r="A151" s="515" t="s">
        <v>512</v>
      </c>
      <c r="B151" s="516" t="s">
        <v>522</v>
      </c>
      <c r="C151" s="514" t="s">
        <v>526</v>
      </c>
      <c r="D151" s="517">
        <v>30</v>
      </c>
      <c r="E151" s="87"/>
      <c r="F151" s="512" t="e">
        <f>(D151*D152*'Ввод исходных данных'!$D$21*0.28+D189*0.28)*1.006*0.001*(20+25)+E161*(20+25)</f>
        <v>#N/A</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25">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25">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25">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25">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25">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25">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25">
      <c r="A158" s="508" t="s">
        <v>527</v>
      </c>
      <c r="B158" s="509" t="s">
        <v>532</v>
      </c>
      <c r="C158" s="506" t="s">
        <v>746</v>
      </c>
      <c r="D158" s="520">
        <f>IF('Список мероприятий'!AB37=1,1.05,'Расчет базового уровня'!D158)</f>
        <v>1.07</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25">
      <c r="A159" s="486" t="s">
        <v>743</v>
      </c>
      <c r="B159" s="521" t="s">
        <v>903</v>
      </c>
      <c r="C159" s="506" t="s">
        <v>747</v>
      </c>
      <c r="D159" s="108">
        <f>IF('Список мероприятий'!AB24=1,15,'Ввод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25">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25">
      <c r="A161" s="486" t="s">
        <v>1610</v>
      </c>
      <c r="B161" s="521"/>
      <c r="C161" s="506" t="s">
        <v>496</v>
      </c>
      <c r="D161" s="517" t="e">
        <f>0.28*(4*'Ввод исходных данных'!$D$22*'Расчет базового уровня'!$D$152*0.5+'Расчет базового уровня'!$D$162*'Расчет базового уровня'!$D$154*0.5)*'Расчет базового уровня'!$D$155*0.024*D147</f>
        <v>#VALUE!</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517">
        <f>0.28*(4*'Ввод исходных данных'!$D$22*'Расчет базового уровня'!$D$152*0.5+'Расчет базового уровня'!$D$162*'Расчет базового уровня'!$D$154*0.5)*'Расчет базового уровня'!$D$155*0.024*G147</f>
        <v>0</v>
      </c>
      <c r="H161" s="517">
        <f>0.28*(4*'Ввод исходных данных'!$D$22*'Расчет базового уровня'!$D$152*0.5+'Расчет базового уровня'!$D$162*'Расчет базового уровня'!$D$154*0.5)*'Расчет базового уровня'!$D$155*0.024*H147</f>
        <v>0</v>
      </c>
      <c r="I161" s="517">
        <f>0.28*(4*'Ввод исходных данных'!$D$22*'Расчет базового уровня'!$D$152*0.5+'Расчет базового уровня'!$D$162*'Расчет базового уровня'!$D$154*0.5)*'Расчет базового уровня'!$D$155*0.024*I147</f>
        <v>0</v>
      </c>
      <c r="J161" s="517">
        <f>0.28*(4*'Ввод исходных данных'!$D$22*'Расчет базового уровня'!$D$152*0.5+'Расчет базового уровня'!$D$162*'Расчет базового уровня'!$D$154*0.5)*'Расчет базового уровня'!$D$155*0.024*J147</f>
        <v>0</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0</v>
      </c>
      <c r="Q161" s="517">
        <f>0.28*(4*'Ввод исходных данных'!$D$22*'Расчет базового уровня'!$D$152*0.5+'Расчет базового уровня'!$D$162*'Расчет базового уровня'!$D$154*0.5)*'Расчет базового уровня'!$D$155*0.024*Q147</f>
        <v>0</v>
      </c>
      <c r="R161" s="517">
        <f>0.28*(4*'Ввод исходных данных'!$D$22*'Расчет базового уровня'!$D$152*0.5+'Расчет базового уровня'!$D$162*'Расчет базового уровня'!$D$154*0.5)*'Расчет базового уровня'!$D$155*0.024*R147</f>
        <v>0</v>
      </c>
      <c r="S161" s="87"/>
      <c r="T161" s="87"/>
      <c r="U161" s="87"/>
      <c r="V161" s="87"/>
      <c r="W161" s="87"/>
      <c r="X161" s="87"/>
      <c r="Y161" s="87"/>
      <c r="Z161" s="87"/>
      <c r="AA161" s="87"/>
      <c r="AB161" s="87"/>
      <c r="AC161" s="87"/>
      <c r="AD161" s="87"/>
      <c r="AE161" s="87"/>
    </row>
    <row r="162" spans="1:31" x14ac:dyDescent="0.25">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25">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25">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1</v>
      </c>
      <c r="N164" s="87">
        <f>IF('Ввод исходных данных'!$D$110='Расчет после реализации'!N129,1,0)</f>
        <v>0</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25">
      <c r="A165" s="523" t="s">
        <v>905</v>
      </c>
      <c r="B165" s="524" t="s">
        <v>1492</v>
      </c>
      <c r="C165" s="506" t="s">
        <v>906</v>
      </c>
      <c r="D165" s="525">
        <f>D166*365/(D146+D167*(D168-D146))</f>
        <v>98.21145932257042</v>
      </c>
      <c r="E165" s="87"/>
      <c r="F165" s="87"/>
      <c r="G165" s="525" t="e">
        <f>'Расчет базового уровня'!G167</f>
        <v>#N/A</v>
      </c>
      <c r="H165" s="525" t="e">
        <f>'Расчет базового уровня'!H167</f>
        <v>#N/A</v>
      </c>
      <c r="I165" s="525" t="e">
        <f>'Расчет базового уровня'!I167</f>
        <v>#N/A</v>
      </c>
      <c r="J165" s="525" t="e">
        <f>'Расчет базового уровня'!J167</f>
        <v>#N/A</v>
      </c>
      <c r="K165" s="525" t="e">
        <f>'Расчет базового уровня'!K167</f>
        <v>#N/A</v>
      </c>
      <c r="L165" s="525" t="e">
        <f>'Расчет базового уровня'!L167</f>
        <v>#N/A</v>
      </c>
      <c r="M165" s="525" t="e">
        <f>'Расчет базового уровня'!M167</f>
        <v>#N/A</v>
      </c>
      <c r="N165" s="525" t="e">
        <f>'Расчет базового уровня'!N167</f>
        <v>#N/A</v>
      </c>
      <c r="O165" s="525" t="e">
        <f>'Расчет базового уровня'!O167</f>
        <v>#N/A</v>
      </c>
      <c r="P165" s="525" t="e">
        <f>'Расчет базового уровня'!P167</f>
        <v>#N/A</v>
      </c>
      <c r="Q165" s="525" t="e">
        <f>'Расчет базового уровня'!Q167</f>
        <v>#N/A</v>
      </c>
      <c r="R165" s="525" t="e">
        <f>'Расчет базового уровня'!R167</f>
        <v>#N/A</v>
      </c>
      <c r="S165" s="87"/>
      <c r="T165" s="87"/>
      <c r="U165" s="87"/>
      <c r="V165" s="87"/>
      <c r="W165" s="87"/>
      <c r="X165" s="87"/>
    </row>
    <row r="166" spans="1:31" ht="15.75" customHeight="1" x14ac:dyDescent="0.25">
      <c r="A166" s="523" t="s">
        <v>907</v>
      </c>
      <c r="B166" s="524" t="s">
        <v>542</v>
      </c>
      <c r="C166" s="506" t="s">
        <v>906</v>
      </c>
      <c r="D166" s="526">
        <f>'Расчет базового уровня'!D168</f>
        <v>85</v>
      </c>
      <c r="E166" s="87"/>
      <c r="F166" s="87"/>
      <c r="G166" s="525">
        <f>'Расчет базового уровня'!G168</f>
        <v>85</v>
      </c>
      <c r="H166" s="525">
        <f>'Расчет базового уровня'!H168</f>
        <v>85</v>
      </c>
      <c r="I166" s="525">
        <f>'Расчет базового уровня'!I168</f>
        <v>85</v>
      </c>
      <c r="J166" s="525">
        <f>'Расчет базового уровня'!J168</f>
        <v>85</v>
      </c>
      <c r="K166" s="525">
        <f>'Расчет базового уровня'!K168</f>
        <v>85</v>
      </c>
      <c r="L166" s="525">
        <f>'Расчет базового уровня'!L168</f>
        <v>85</v>
      </c>
      <c r="M166" s="525">
        <f>'Расчет базового уровня'!M168</f>
        <v>85</v>
      </c>
      <c r="N166" s="525">
        <f>'Расчет базового уровня'!N168</f>
        <v>85</v>
      </c>
      <c r="O166" s="525">
        <f>'Расчет базового уровня'!O168</f>
        <v>85</v>
      </c>
      <c r="P166" s="525">
        <f>'Расчет базового уровня'!P168</f>
        <v>85</v>
      </c>
      <c r="Q166" s="525">
        <f>'Расчет базового уровня'!Q168</f>
        <v>85</v>
      </c>
      <c r="R166" s="525">
        <f>'Расчет базового уровня'!R168</f>
        <v>85</v>
      </c>
      <c r="S166" s="87"/>
      <c r="T166" s="87"/>
      <c r="U166" s="87"/>
      <c r="V166" s="87"/>
      <c r="W166" s="87"/>
      <c r="X166" s="87"/>
    </row>
    <row r="167" spans="1:31" ht="15.75" customHeight="1" x14ac:dyDescent="0.25">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25">
      <c r="A168" s="523"/>
      <c r="B168" s="524" t="s">
        <v>546</v>
      </c>
      <c r="C168" s="506" t="s">
        <v>543</v>
      </c>
      <c r="D168" s="528">
        <f>365-'Ввод исходных данных'!D109</f>
        <v>351</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17</v>
      </c>
      <c r="N168" s="528">
        <f>N163-N164*'Ввод исходных данных'!$D$109</f>
        <v>31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25">
      <c r="A169" s="523" t="s">
        <v>908</v>
      </c>
      <c r="B169" s="524" t="s">
        <v>547</v>
      </c>
      <c r="C169" s="506" t="s">
        <v>559</v>
      </c>
      <c r="D169" s="529">
        <f>D165*'Ввод исходных данных'!$D$21/24/1000</f>
        <v>0</v>
      </c>
      <c r="E169" s="87"/>
      <c r="F169" s="87"/>
      <c r="G169" s="529" t="e">
        <f>G165*'Ввод исходных данных'!$D$21/24/1000</f>
        <v>#N/A</v>
      </c>
      <c r="H169" s="529" t="e">
        <f>H165*'Ввод исходных данных'!$D$21/24/1000</f>
        <v>#N/A</v>
      </c>
      <c r="I169" s="529" t="e">
        <f>I165*'Ввод исходных данных'!$D$21/24/1000</f>
        <v>#N/A</v>
      </c>
      <c r="J169" s="529" t="e">
        <f>J165*'Ввод исходных данных'!$D$21/24/1000</f>
        <v>#N/A</v>
      </c>
      <c r="K169" s="529" t="e">
        <f>K165*'Ввод исходных данных'!$D$21/24/1000</f>
        <v>#N/A</v>
      </c>
      <c r="L169" s="529" t="e">
        <f>L165*'Ввод исходных данных'!$D$21/24/1000</f>
        <v>#N/A</v>
      </c>
      <c r="M169" s="529" t="e">
        <f>M165*'Ввод исходных данных'!$D$21/24/1000</f>
        <v>#N/A</v>
      </c>
      <c r="N169" s="529" t="e">
        <f>N165*'Ввод исходных данных'!$D$21/24/1000</f>
        <v>#N/A</v>
      </c>
      <c r="O169" s="529" t="e">
        <f>O165*'Ввод исходных данных'!$D$21/24/1000</f>
        <v>#N/A</v>
      </c>
      <c r="P169" s="529" t="e">
        <f>P165*'Ввод исходных данных'!$D$21/24/1000</f>
        <v>#N/A</v>
      </c>
      <c r="Q169" s="529" t="e">
        <f>Q165*'Ввод исходных данных'!$D$21/24/1000</f>
        <v>#N/A</v>
      </c>
      <c r="R169" s="529" t="e">
        <f>R165*'Ввод исходных данных'!$D$21/24/1000</f>
        <v>#N/A</v>
      </c>
      <c r="S169" s="87"/>
      <c r="T169" s="87"/>
      <c r="U169" s="87"/>
      <c r="V169" s="87"/>
      <c r="W169" s="87"/>
      <c r="X169" s="87"/>
    </row>
    <row r="170" spans="1:31" ht="15.75" customHeight="1" x14ac:dyDescent="0.25">
      <c r="A170" s="523" t="s">
        <v>909</v>
      </c>
      <c r="B170" s="524" t="s">
        <v>548</v>
      </c>
      <c r="C170" s="506" t="s">
        <v>559</v>
      </c>
      <c r="D170" s="529" t="e">
        <f>D169*'Система электроснабжения'!$C$55</f>
        <v>#DIV/0!</v>
      </c>
      <c r="E170" s="87"/>
      <c r="F170" s="87"/>
      <c r="G170" s="529" t="e">
        <f>G169*'Система электроснабжения'!$C$55</f>
        <v>#N/A</v>
      </c>
      <c r="H170" s="529" t="e">
        <f>H169*'Система электроснабжения'!$C$55</f>
        <v>#N/A</v>
      </c>
      <c r="I170" s="529" t="e">
        <f>I169*'Система электроснабжения'!$C$55</f>
        <v>#N/A</v>
      </c>
      <c r="J170" s="529" t="e">
        <f>J169*'Система электроснабжения'!$C$55</f>
        <v>#N/A</v>
      </c>
      <c r="K170" s="529" t="e">
        <f>K169*'Система электроснабжения'!$C$55</f>
        <v>#N/A</v>
      </c>
      <c r="L170" s="529" t="e">
        <f>L169*'Система электроснабжения'!$C$55</f>
        <v>#N/A</v>
      </c>
      <c r="M170" s="529" t="e">
        <f>M169*'Система электроснабжения'!$C$55</f>
        <v>#N/A</v>
      </c>
      <c r="N170" s="529" t="e">
        <f>N169*'Система электроснабжения'!$C$55</f>
        <v>#N/A</v>
      </c>
      <c r="O170" s="529" t="e">
        <f>O169*'Система электроснабжения'!$C$55</f>
        <v>#N/A</v>
      </c>
      <c r="P170" s="529" t="e">
        <f>P169*'Система электроснабжения'!$C$55</f>
        <v>#N/A</v>
      </c>
      <c r="Q170" s="529" t="e">
        <f>Q169*'Система электроснабжения'!$C$55</f>
        <v>#N/A</v>
      </c>
      <c r="R170" s="529" t="e">
        <f>R169*'Система электроснабжения'!$C$55</f>
        <v>#N/A</v>
      </c>
      <c r="S170" s="87"/>
      <c r="T170" s="87"/>
      <c r="U170" s="87"/>
      <c r="V170" s="87"/>
      <c r="W170" s="87"/>
      <c r="X170" s="87"/>
    </row>
    <row r="171" spans="1:31" ht="15.75" customHeight="1" x14ac:dyDescent="0.25">
      <c r="A171" s="523" t="s">
        <v>910</v>
      </c>
      <c r="B171" s="524" t="s">
        <v>551</v>
      </c>
      <c r="C171" s="506" t="s">
        <v>513</v>
      </c>
      <c r="D171" s="530">
        <f xml:space="preserve"> (D165*(D172-D173)*(1+D174)*1*D175)/(3.6*24*D176)</f>
        <v>16.411203055203828</v>
      </c>
      <c r="E171" s="87"/>
      <c r="F171" s="87"/>
      <c r="G171" s="530" t="e">
        <f xml:space="preserve"> (G165*($D$172-$D$173)*(1+$D$174)*1*$D$175)/(3.6*24*$D$176)</f>
        <v>#N/A</v>
      </c>
      <c r="H171" s="530" t="e">
        <f t="shared" ref="H171:R171" si="11" xml:space="preserve"> (H165*($D$172-$D$173)*(1+$D$174)*1*$D$175)/(3.6*24*$D$176)</f>
        <v>#N/A</v>
      </c>
      <c r="I171" s="530" t="e">
        <f t="shared" si="11"/>
        <v>#N/A</v>
      </c>
      <c r="J171" s="530" t="e">
        <f t="shared" si="11"/>
        <v>#N/A</v>
      </c>
      <c r="K171" s="530" t="e">
        <f t="shared" si="11"/>
        <v>#N/A</v>
      </c>
      <c r="L171" s="530" t="e">
        <f t="shared" si="11"/>
        <v>#N/A</v>
      </c>
      <c r="M171" s="530" t="e">
        <f t="shared" si="11"/>
        <v>#N/A</v>
      </c>
      <c r="N171" s="530" t="e">
        <f t="shared" si="11"/>
        <v>#N/A</v>
      </c>
      <c r="O171" s="530" t="e">
        <f t="shared" si="11"/>
        <v>#N/A</v>
      </c>
      <c r="P171" s="530" t="e">
        <f t="shared" si="11"/>
        <v>#N/A</v>
      </c>
      <c r="Q171" s="530" t="e">
        <f t="shared" si="11"/>
        <v>#N/A</v>
      </c>
      <c r="R171" s="530" t="e">
        <f t="shared" si="11"/>
        <v>#N/A</v>
      </c>
      <c r="S171" s="87"/>
      <c r="T171" s="87"/>
      <c r="U171" s="87"/>
      <c r="V171" s="87"/>
      <c r="W171" s="87"/>
      <c r="X171" s="87"/>
    </row>
    <row r="172" spans="1:31" ht="15.75" customHeight="1" x14ac:dyDescent="0.25">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15</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0.25</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25">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25">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25">
      <c r="A177" s="527" t="s">
        <v>914</v>
      </c>
      <c r="B177" s="532" t="s">
        <v>750</v>
      </c>
      <c r="C177" s="506" t="s">
        <v>562</v>
      </c>
      <c r="D177" s="525" t="e">
        <f>'Расчет базового уровня'!D179</f>
        <v>#DIV/0!</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25">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25">
      <c r="A179" s="527" t="s">
        <v>1592</v>
      </c>
      <c r="B179" s="532" t="s">
        <v>1593</v>
      </c>
      <c r="C179" s="506" t="s">
        <v>1599</v>
      </c>
      <c r="D179" s="525" t="e">
        <f>0.28*'Ввод исходных данных'!$G$48*(D181-D182)+0.03*D181*Климатология!$H$2^2</f>
        <v>#N/A</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25">
      <c r="A180" s="527" t="s">
        <v>1595</v>
      </c>
      <c r="B180" s="532" t="s">
        <v>1594</v>
      </c>
      <c r="C180" s="506" t="s">
        <v>1599</v>
      </c>
      <c r="D180" s="525" t="e">
        <f>0.55*('Ввод исходных данных'!$G$48-1)*(D181-D182)+0.03*D181*Климатология!$H$2^2</f>
        <v>#N/A</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25">
      <c r="A181" s="527" t="s">
        <v>1596</v>
      </c>
      <c r="B181" s="532"/>
      <c r="C181" s="506" t="s">
        <v>1600</v>
      </c>
      <c r="D181" s="525" t="e">
        <f>3463/(273+Климатология!$F$2)</f>
        <v>#N/A</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25">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25">
      <c r="A183" s="527" t="s">
        <v>1591</v>
      </c>
      <c r="B183" s="532"/>
      <c r="C183" s="506" t="s">
        <v>1601</v>
      </c>
      <c r="D183" s="534" t="e">
        <f>IF('Список мероприятий'!AB14=1,0.86,'Расчет базового уровня'!D185)</f>
        <v>#DIV/0!</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25">
      <c r="A184" s="527" t="s">
        <v>1590</v>
      </c>
      <c r="B184" s="532"/>
      <c r="C184" s="506" t="s">
        <v>1601</v>
      </c>
      <c r="D184" s="534">
        <f>IF('Список мероприятий'!AB73=1,0.16,'Расчет базового уровня'!D186)</f>
        <v>0.14000000000000001</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25">
      <c r="A185" s="527" t="s">
        <v>1589</v>
      </c>
      <c r="B185" s="532"/>
      <c r="C185" s="506" t="s">
        <v>1602</v>
      </c>
      <c r="D185" s="525" t="e">
        <f>(B136/D183)*(D179/10)^(2/3)</f>
        <v>#DIV/0!</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25">
      <c r="A186" s="527" t="s">
        <v>1588</v>
      </c>
      <c r="B186" s="532"/>
      <c r="C186" s="506" t="s">
        <v>1602</v>
      </c>
      <c r="D186" s="525" t="e">
        <f>(B143/D184)*(D180/10)^(1/2)</f>
        <v>#N/A</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25">
      <c r="A187" s="527" t="s">
        <v>1587</v>
      </c>
      <c r="B187" s="532"/>
      <c r="C187" s="506" t="s">
        <v>1602</v>
      </c>
      <c r="D187" s="525" t="e">
        <f>D185+D186</f>
        <v>#DIV/0!</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25">
      <c r="A188" s="527" t="s">
        <v>1586</v>
      </c>
      <c r="B188" s="532"/>
      <c r="C188" s="506" t="s">
        <v>496</v>
      </c>
      <c r="D188" s="525" t="e">
        <f>0.024*D185*'Расчет базового уровня'!$D$147*0.28</f>
        <v>#DIV/0!</v>
      </c>
      <c r="E188" s="87"/>
      <c r="F188" s="87"/>
      <c r="G188" s="525" t="e">
        <f>0.024*$D$185*G$147*0.28</f>
        <v>#DIV/0!</v>
      </c>
      <c r="H188" s="525" t="e">
        <f t="shared" ref="H188:R188" si="12">0.024*$D$185*H$147*0.28</f>
        <v>#DIV/0!</v>
      </c>
      <c r="I188" s="525" t="e">
        <f t="shared" si="12"/>
        <v>#DIV/0!</v>
      </c>
      <c r="J188" s="525" t="e">
        <f t="shared" si="12"/>
        <v>#DIV/0!</v>
      </c>
      <c r="K188" s="525" t="e">
        <f t="shared" si="12"/>
        <v>#DIV/0!</v>
      </c>
      <c r="L188" s="525" t="e">
        <f t="shared" si="12"/>
        <v>#DIV/0!</v>
      </c>
      <c r="M188" s="525" t="e">
        <f t="shared" si="12"/>
        <v>#DIV/0!</v>
      </c>
      <c r="N188" s="525" t="e">
        <f t="shared" si="12"/>
        <v>#DIV/0!</v>
      </c>
      <c r="O188" s="525" t="e">
        <f t="shared" si="12"/>
        <v>#DIV/0!</v>
      </c>
      <c r="P188" s="525" t="e">
        <f t="shared" si="12"/>
        <v>#DIV/0!</v>
      </c>
      <c r="Q188" s="525" t="e">
        <f t="shared" si="12"/>
        <v>#DIV/0!</v>
      </c>
      <c r="R188" s="525" t="e">
        <f t="shared" si="12"/>
        <v>#DIV/0!</v>
      </c>
      <c r="S188" s="87"/>
      <c r="T188" s="87"/>
      <c r="U188" s="87"/>
      <c r="V188" s="87"/>
      <c r="W188" s="87"/>
      <c r="X188" s="87"/>
    </row>
    <row r="189" spans="1:26" x14ac:dyDescent="0.25">
      <c r="A189" s="527" t="s">
        <v>1585</v>
      </c>
      <c r="B189" s="532"/>
      <c r="C189" s="506" t="s">
        <v>496</v>
      </c>
      <c r="D189" s="525" t="e">
        <f>0.024*D186*'Расчет базового уровня'!$D$147*0.28</f>
        <v>#N/A</v>
      </c>
      <c r="E189" s="87"/>
      <c r="F189" s="87"/>
      <c r="G189" s="525" t="e">
        <f>0.024*$D$186*G$147*0.28</f>
        <v>#N/A</v>
      </c>
      <c r="H189" s="525" t="e">
        <f t="shared" ref="H189:R189" si="13">0.024*$D$186*H$147*0.28</f>
        <v>#N/A</v>
      </c>
      <c r="I189" s="525" t="e">
        <f t="shared" si="13"/>
        <v>#N/A</v>
      </c>
      <c r="J189" s="525" t="e">
        <f t="shared" si="13"/>
        <v>#N/A</v>
      </c>
      <c r="K189" s="525" t="e">
        <f t="shared" si="13"/>
        <v>#N/A</v>
      </c>
      <c r="L189" s="525" t="e">
        <f t="shared" si="13"/>
        <v>#N/A</v>
      </c>
      <c r="M189" s="525" t="e">
        <f t="shared" si="13"/>
        <v>#N/A</v>
      </c>
      <c r="N189" s="525" t="e">
        <f t="shared" si="13"/>
        <v>#N/A</v>
      </c>
      <c r="O189" s="525" t="e">
        <f t="shared" si="13"/>
        <v>#N/A</v>
      </c>
      <c r="P189" s="525" t="e">
        <f t="shared" si="13"/>
        <v>#N/A</v>
      </c>
      <c r="Q189" s="525" t="e">
        <f t="shared" si="13"/>
        <v>#N/A</v>
      </c>
      <c r="R189" s="525" t="e">
        <f t="shared" si="13"/>
        <v>#N/A</v>
      </c>
      <c r="S189" s="87"/>
      <c r="T189" s="87"/>
      <c r="U189" s="87"/>
      <c r="V189" s="87"/>
      <c r="W189" s="87"/>
      <c r="X189" s="87"/>
    </row>
    <row r="190" spans="1:26" x14ac:dyDescent="0.25">
      <c r="A190" s="527" t="s">
        <v>1584</v>
      </c>
      <c r="B190" s="532"/>
      <c r="C190" s="506" t="s">
        <v>496</v>
      </c>
      <c r="D190" s="525" t="e">
        <f>0.024*D187*'Расчет базового уровня'!$D$147*0.28</f>
        <v>#DIV/0!</v>
      </c>
      <c r="E190" s="87"/>
      <c r="F190" s="87"/>
      <c r="G190" s="525" t="e">
        <f>0.024*$D$187*G$147*0.28</f>
        <v>#DIV/0!</v>
      </c>
      <c r="H190" s="525" t="e">
        <f t="shared" ref="H190:R190" si="14">0.024*$D$187*H$147*0.28</f>
        <v>#DIV/0!</v>
      </c>
      <c r="I190" s="525" t="e">
        <f t="shared" si="14"/>
        <v>#DIV/0!</v>
      </c>
      <c r="J190" s="525" t="e">
        <f t="shared" si="14"/>
        <v>#DIV/0!</v>
      </c>
      <c r="K190" s="525" t="e">
        <f t="shared" si="14"/>
        <v>#DIV/0!</v>
      </c>
      <c r="L190" s="525" t="e">
        <f t="shared" si="14"/>
        <v>#DIV/0!</v>
      </c>
      <c r="M190" s="525" t="e">
        <f t="shared" si="14"/>
        <v>#DIV/0!</v>
      </c>
      <c r="N190" s="525" t="e">
        <f t="shared" si="14"/>
        <v>#DIV/0!</v>
      </c>
      <c r="O190" s="525" t="e">
        <f t="shared" si="14"/>
        <v>#DIV/0!</v>
      </c>
      <c r="P190" s="525" t="e">
        <f t="shared" si="14"/>
        <v>#DIV/0!</v>
      </c>
      <c r="Q190" s="525" t="e">
        <f t="shared" si="14"/>
        <v>#DIV/0!</v>
      </c>
      <c r="R190" s="525" t="e">
        <f t="shared" si="14"/>
        <v>#DIV/0!</v>
      </c>
      <c r="S190" s="87"/>
      <c r="T190" s="87"/>
      <c r="U190" s="87"/>
      <c r="V190" s="87"/>
      <c r="W190" s="87"/>
      <c r="X190" s="87"/>
    </row>
    <row r="191" spans="1:26" x14ac:dyDescent="0.2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2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2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2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2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2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RowHeight="15" x14ac:dyDescent="0.25"/>
  <cols>
    <col min="1" max="1" width="47" style="88" customWidth="1"/>
    <col min="2" max="2" width="9.140625" style="88"/>
    <col min="3" max="3" width="44" style="88" customWidth="1"/>
    <col min="4" max="16384" width="9.140625" style="88"/>
  </cols>
  <sheetData>
    <row r="1" spans="1:11" x14ac:dyDescent="0.25">
      <c r="C1" s="88">
        <v>1</v>
      </c>
      <c r="D1" s="88">
        <v>2</v>
      </c>
      <c r="E1" s="88">
        <v>3</v>
      </c>
      <c r="F1" s="88">
        <v>4</v>
      </c>
      <c r="G1" s="87"/>
      <c r="H1" s="87"/>
      <c r="I1" s="87"/>
      <c r="J1" s="87"/>
      <c r="K1" s="87"/>
    </row>
    <row r="2" spans="1:11" s="253" customFormat="1" ht="135" x14ac:dyDescent="0.25">
      <c r="A2" s="297" t="s">
        <v>901</v>
      </c>
      <c r="B2" s="297" t="s">
        <v>1309</v>
      </c>
      <c r="C2" s="297" t="s">
        <v>1388</v>
      </c>
      <c r="D2" s="297" t="s">
        <v>1310</v>
      </c>
      <c r="E2" s="297" t="s">
        <v>1643</v>
      </c>
      <c r="F2" s="297" t="s">
        <v>1642</v>
      </c>
      <c r="G2" s="87"/>
      <c r="H2" s="87"/>
      <c r="I2" s="87"/>
      <c r="J2" s="87"/>
      <c r="K2" s="87"/>
    </row>
    <row r="3" spans="1:11" x14ac:dyDescent="0.25">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25">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25">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25">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25">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25">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25">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25">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25">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25">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25">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25">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25">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25">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25">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25">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25">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25">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25">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25">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25">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25">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25">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25">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25">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25">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25">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25">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25">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25">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25">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25">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25">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25">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25">
      <c r="A37" s="87"/>
      <c r="B37" s="87"/>
      <c r="C37" s="87"/>
      <c r="D37" s="87"/>
      <c r="E37" s="87"/>
      <c r="F37" s="87"/>
      <c r="G37" s="87"/>
      <c r="H37" s="87"/>
      <c r="I37" s="87"/>
      <c r="J37" s="87"/>
      <c r="K37" s="87"/>
    </row>
    <row r="38" spans="1:11" x14ac:dyDescent="0.25">
      <c r="A38" s="87"/>
      <c r="B38" s="87"/>
      <c r="C38" s="87"/>
      <c r="D38" s="87"/>
      <c r="E38" s="87"/>
      <c r="F38" s="87"/>
      <c r="G38" s="87"/>
      <c r="H38" s="87"/>
      <c r="I38" s="87"/>
      <c r="J38" s="87"/>
      <c r="K38" s="87"/>
    </row>
    <row r="39" spans="1:11" x14ac:dyDescent="0.25">
      <c r="A39" s="108" t="s">
        <v>864</v>
      </c>
      <c r="B39" s="108" t="s">
        <v>1312</v>
      </c>
      <c r="C39" s="87"/>
      <c r="D39" s="87"/>
      <c r="E39" s="87"/>
      <c r="F39" s="87"/>
      <c r="G39" s="87"/>
      <c r="H39" s="87"/>
      <c r="I39" s="87"/>
      <c r="J39" s="87"/>
      <c r="K39" s="87"/>
    </row>
    <row r="40" spans="1:11" x14ac:dyDescent="0.25">
      <c r="A40" s="108" t="s">
        <v>1258</v>
      </c>
      <c r="B40" s="108">
        <v>0.55000000000000004</v>
      </c>
      <c r="C40" s="87"/>
      <c r="D40" s="87"/>
      <c r="E40" s="87"/>
      <c r="F40" s="87"/>
      <c r="G40" s="87"/>
      <c r="H40" s="87"/>
      <c r="I40" s="87"/>
      <c r="J40" s="87"/>
      <c r="K40" s="87"/>
    </row>
    <row r="41" spans="1:11" x14ac:dyDescent="0.25">
      <c r="A41" s="108" t="s">
        <v>1259</v>
      </c>
      <c r="B41" s="108">
        <v>0.54</v>
      </c>
      <c r="C41" s="87"/>
      <c r="D41" s="87"/>
      <c r="E41" s="87"/>
      <c r="F41" s="87"/>
      <c r="G41" s="87"/>
      <c r="H41" s="87"/>
      <c r="I41" s="87"/>
      <c r="J41" s="87"/>
      <c r="K41" s="87"/>
    </row>
    <row r="42" spans="1:11" x14ac:dyDescent="0.25">
      <c r="A42" s="108" t="s">
        <v>1260</v>
      </c>
      <c r="B42" s="108">
        <v>0.68</v>
      </c>
      <c r="C42" s="87"/>
      <c r="D42" s="87"/>
      <c r="E42" s="87"/>
      <c r="F42" s="87"/>
      <c r="G42" s="87"/>
      <c r="H42" s="87"/>
      <c r="I42" s="87"/>
      <c r="J42" s="87"/>
      <c r="K42" s="87"/>
    </row>
    <row r="43" spans="1:11" x14ac:dyDescent="0.25">
      <c r="A43" s="108" t="s">
        <v>1264</v>
      </c>
      <c r="B43" s="108">
        <v>0.56000000000000005</v>
      </c>
      <c r="C43" s="87"/>
      <c r="D43" s="87"/>
      <c r="E43" s="87"/>
      <c r="F43" s="87"/>
      <c r="G43" s="87"/>
      <c r="H43" s="87"/>
      <c r="I43" s="87"/>
      <c r="J43" s="87"/>
      <c r="K43" s="87"/>
    </row>
    <row r="44" spans="1:11" x14ac:dyDescent="0.25">
      <c r="A44" s="108" t="s">
        <v>1265</v>
      </c>
      <c r="B44" s="108">
        <v>0.72</v>
      </c>
      <c r="C44" s="87"/>
      <c r="D44" s="87"/>
      <c r="E44" s="87"/>
      <c r="F44" s="87"/>
      <c r="G44" s="87"/>
      <c r="H44" s="87"/>
      <c r="I44" s="87"/>
      <c r="J44" s="87"/>
      <c r="K44" s="87"/>
    </row>
    <row r="45" spans="1:11" x14ac:dyDescent="0.25">
      <c r="A45" s="108" t="s">
        <v>1261</v>
      </c>
      <c r="B45" s="108">
        <v>0.7</v>
      </c>
      <c r="C45" s="87"/>
      <c r="D45" s="87"/>
      <c r="E45" s="87"/>
      <c r="F45" s="87"/>
      <c r="G45" s="87"/>
      <c r="H45" s="87"/>
      <c r="I45" s="87"/>
      <c r="J45" s="87"/>
      <c r="K45" s="87"/>
    </row>
    <row r="46" spans="1:11" x14ac:dyDescent="0.25">
      <c r="A46" s="108" t="s">
        <v>1262</v>
      </c>
      <c r="B46" s="108">
        <v>0.74</v>
      </c>
      <c r="C46" s="87"/>
      <c r="D46" s="87"/>
      <c r="E46" s="87"/>
      <c r="F46" s="87"/>
      <c r="G46" s="87"/>
      <c r="H46" s="87"/>
      <c r="I46" s="87"/>
      <c r="J46" s="87"/>
      <c r="K46" s="87"/>
    </row>
    <row r="47" spans="1:11" x14ac:dyDescent="0.25">
      <c r="A47" s="108" t="s">
        <v>1263</v>
      </c>
      <c r="B47" s="108">
        <v>0.8</v>
      </c>
      <c r="C47" s="87"/>
      <c r="D47" s="87"/>
      <c r="E47" s="87"/>
      <c r="F47" s="87"/>
      <c r="G47" s="87"/>
      <c r="H47" s="87"/>
      <c r="I47" s="87"/>
      <c r="J47" s="87"/>
      <c r="K47" s="87"/>
    </row>
    <row r="48" spans="1:11" x14ac:dyDescent="0.25">
      <c r="A48" s="87"/>
      <c r="B48" s="87"/>
      <c r="C48" s="87"/>
      <c r="D48" s="87"/>
      <c r="E48" s="87"/>
      <c r="F48" s="87"/>
      <c r="G48" s="87"/>
      <c r="H48" s="87"/>
      <c r="I48" s="87"/>
      <c r="J48" s="87"/>
      <c r="K48" s="87"/>
    </row>
    <row r="49" spans="1:11" x14ac:dyDescent="0.25">
      <c r="A49" s="108"/>
      <c r="B49" s="108"/>
      <c r="C49" s="108" t="s">
        <v>1640</v>
      </c>
      <c r="D49" s="108" t="s">
        <v>1641</v>
      </c>
      <c r="E49" s="87"/>
      <c r="F49" s="87"/>
      <c r="G49" s="87"/>
      <c r="H49" s="87"/>
      <c r="I49" s="87"/>
      <c r="J49" s="87"/>
      <c r="K49" s="87"/>
    </row>
    <row r="50" spans="1:11" x14ac:dyDescent="0.25">
      <c r="A50" s="108" t="s">
        <v>1561</v>
      </c>
      <c r="B50" s="108" t="s">
        <v>1318</v>
      </c>
      <c r="C50" s="108">
        <v>6000</v>
      </c>
      <c r="D50" s="108">
        <v>5000</v>
      </c>
      <c r="E50" s="87"/>
      <c r="F50" s="87"/>
      <c r="G50" s="87"/>
      <c r="H50" s="87"/>
      <c r="I50" s="87"/>
      <c r="J50" s="87"/>
      <c r="K50" s="87"/>
    </row>
    <row r="51" spans="1:11" x14ac:dyDescent="0.25">
      <c r="A51" s="108" t="s">
        <v>1562</v>
      </c>
      <c r="B51" s="108" t="s">
        <v>1563</v>
      </c>
      <c r="C51" s="108">
        <v>3800</v>
      </c>
      <c r="D51" s="108"/>
      <c r="E51" s="87"/>
      <c r="F51" s="87"/>
      <c r="G51" s="87"/>
      <c r="H51" s="87"/>
      <c r="I51" s="87"/>
      <c r="J51" s="87"/>
      <c r="K51" s="87"/>
    </row>
    <row r="52" spans="1:11" x14ac:dyDescent="0.25">
      <c r="A52" s="108" t="s">
        <v>1564</v>
      </c>
      <c r="B52" s="108" t="s">
        <v>858</v>
      </c>
      <c r="C52" s="108" t="e">
        <f>IF('Система электроснабжения'!D34*0.86&lt;200,700000,900000)</f>
        <v>#N/A</v>
      </c>
      <c r="D52" s="108" t="e">
        <f>C52*0.2+100000</f>
        <v>#N/A</v>
      </c>
      <c r="E52" s="87"/>
      <c r="F52" s="87"/>
      <c r="G52" s="87"/>
      <c r="H52" s="87"/>
      <c r="I52" s="87"/>
      <c r="J52" s="87"/>
      <c r="K52" s="87"/>
    </row>
    <row r="53" spans="1:11" x14ac:dyDescent="0.25">
      <c r="A53" s="108" t="s">
        <v>801</v>
      </c>
      <c r="B53" s="108" t="s">
        <v>858</v>
      </c>
      <c r="C53" s="299" t="e">
        <f>2349*('Система электроснабжения'!D34+'Расчет базового уровня'!E172)+1151900</f>
        <v>#N/A</v>
      </c>
      <c r="D53" s="299" t="e">
        <f>C53*0.2+100000</f>
        <v>#N/A</v>
      </c>
      <c r="E53" s="87"/>
      <c r="F53" s="87"/>
      <c r="G53" s="87"/>
      <c r="H53" s="87"/>
      <c r="I53" s="87"/>
      <c r="J53" s="87"/>
      <c r="K53" s="87"/>
    </row>
    <row r="54" spans="1:11" x14ac:dyDescent="0.25">
      <c r="A54" s="108" t="s">
        <v>1635</v>
      </c>
      <c r="B54" s="108" t="s">
        <v>858</v>
      </c>
      <c r="C54" s="299" t="e">
        <f>531500+285*'Расчет базового уровня'!E172</f>
        <v>#N/A</v>
      </c>
      <c r="D54" s="108" t="e">
        <f>C54*0.2+100000</f>
        <v>#N/A</v>
      </c>
      <c r="E54" s="87"/>
      <c r="F54" s="87"/>
      <c r="G54" s="87"/>
      <c r="H54" s="87"/>
      <c r="I54" s="87"/>
      <c r="J54" s="87"/>
      <c r="K54" s="87"/>
    </row>
    <row r="55" spans="1:11" x14ac:dyDescent="0.25">
      <c r="A55" s="108" t="s">
        <v>1639</v>
      </c>
      <c r="B55" s="108" t="s">
        <v>858</v>
      </c>
      <c r="C55" s="299" t="e">
        <f>150121*'Расчет базового уровня'!E173+23232</f>
        <v>#N/A</v>
      </c>
      <c r="D55" s="108"/>
      <c r="E55" s="87"/>
      <c r="F55" s="87"/>
      <c r="G55" s="87"/>
      <c r="H55" s="87"/>
      <c r="I55" s="87"/>
      <c r="J55" s="87"/>
      <c r="K55" s="87"/>
    </row>
    <row r="56" spans="1:11" x14ac:dyDescent="0.25">
      <c r="A56" s="108" t="s">
        <v>1567</v>
      </c>
      <c r="B56" s="108" t="s">
        <v>493</v>
      </c>
      <c r="C56" s="108">
        <v>400</v>
      </c>
      <c r="D56" s="108"/>
      <c r="E56" s="87"/>
      <c r="F56" s="87"/>
      <c r="G56" s="87"/>
      <c r="H56" s="87"/>
      <c r="I56" s="87"/>
      <c r="J56" s="87"/>
      <c r="K56" s="87"/>
    </row>
    <row r="57" spans="1:11" x14ac:dyDescent="0.25">
      <c r="A57" s="108" t="s">
        <v>1568</v>
      </c>
      <c r="B57" s="108" t="s">
        <v>493</v>
      </c>
      <c r="C57" s="108">
        <f>285+91</f>
        <v>376</v>
      </c>
      <c r="D57" s="108"/>
      <c r="E57" s="87"/>
      <c r="F57" s="87"/>
      <c r="G57" s="87"/>
      <c r="H57" s="87"/>
      <c r="I57" s="87"/>
      <c r="J57" s="87"/>
      <c r="K57" s="87"/>
    </row>
    <row r="58" spans="1:11" x14ac:dyDescent="0.25">
      <c r="A58" s="108" t="s">
        <v>1631</v>
      </c>
      <c r="B58" s="108" t="s">
        <v>1318</v>
      </c>
      <c r="C58" s="108">
        <v>650000</v>
      </c>
      <c r="D58" s="108">
        <v>600000</v>
      </c>
      <c r="E58" s="87"/>
      <c r="F58" s="87"/>
      <c r="G58" s="87"/>
      <c r="H58" s="87"/>
      <c r="I58" s="87"/>
      <c r="J58" s="87"/>
      <c r="K58" s="87"/>
    </row>
    <row r="59" spans="1:11" x14ac:dyDescent="0.25">
      <c r="A59" s="108" t="s">
        <v>1565</v>
      </c>
      <c r="B59" s="108" t="s">
        <v>493</v>
      </c>
      <c r="C59" s="108">
        <v>90</v>
      </c>
      <c r="D59" s="108"/>
      <c r="E59" s="87"/>
      <c r="F59" s="87"/>
      <c r="G59" s="87"/>
      <c r="H59" s="87"/>
      <c r="I59" s="87"/>
      <c r="J59" s="87"/>
      <c r="K59" s="87"/>
    </row>
    <row r="60" spans="1:11" x14ac:dyDescent="0.25">
      <c r="A60" s="111" t="s">
        <v>1566</v>
      </c>
      <c r="B60" s="108" t="s">
        <v>1318</v>
      </c>
      <c r="C60" s="108">
        <v>150</v>
      </c>
      <c r="D60" s="108"/>
      <c r="E60" s="87"/>
      <c r="F60" s="87"/>
      <c r="G60" s="87"/>
      <c r="H60" s="87"/>
      <c r="I60" s="87"/>
      <c r="J60" s="87"/>
      <c r="K60" s="87"/>
    </row>
    <row r="61" spans="1:11" x14ac:dyDescent="0.25">
      <c r="A61" s="111" t="s">
        <v>1569</v>
      </c>
      <c r="B61" s="108" t="s">
        <v>1318</v>
      </c>
      <c r="C61" s="111">
        <v>500</v>
      </c>
      <c r="D61" s="108"/>
      <c r="E61" s="87"/>
      <c r="F61" s="87"/>
      <c r="G61" s="87"/>
      <c r="H61" s="87"/>
      <c r="I61" s="87"/>
      <c r="J61" s="87"/>
      <c r="K61" s="87"/>
    </row>
    <row r="62" spans="1:11" x14ac:dyDescent="0.25">
      <c r="A62" s="111" t="s">
        <v>1570</v>
      </c>
      <c r="B62" s="108" t="s">
        <v>1318</v>
      </c>
      <c r="C62" s="111">
        <v>36000</v>
      </c>
      <c r="D62" s="108"/>
      <c r="E62" s="87"/>
      <c r="F62" s="87"/>
      <c r="G62" s="87"/>
      <c r="H62" s="87"/>
      <c r="I62" s="87"/>
      <c r="J62" s="87"/>
      <c r="K62" s="87"/>
    </row>
    <row r="63" spans="1:11" x14ac:dyDescent="0.25">
      <c r="A63" s="111" t="s">
        <v>1633</v>
      </c>
      <c r="B63" s="108" t="s">
        <v>1634</v>
      </c>
      <c r="C63" s="111">
        <v>4000</v>
      </c>
      <c r="D63" s="108"/>
      <c r="E63" s="87"/>
      <c r="F63" s="87"/>
      <c r="G63" s="87"/>
      <c r="H63" s="87"/>
      <c r="I63" s="87"/>
      <c r="J63" s="87"/>
      <c r="K63" s="87"/>
    </row>
    <row r="64" spans="1:11" x14ac:dyDescent="0.25">
      <c r="A64" s="111" t="s">
        <v>1636</v>
      </c>
      <c r="B64" s="108" t="s">
        <v>1637</v>
      </c>
      <c r="C64" s="111">
        <v>400</v>
      </c>
      <c r="D64" s="108"/>
      <c r="E64" s="87" t="s">
        <v>1638</v>
      </c>
      <c r="F64" s="87"/>
      <c r="G64" s="87"/>
      <c r="H64" s="87"/>
      <c r="I64" s="87"/>
      <c r="J64" s="87"/>
      <c r="K64" s="87"/>
    </row>
    <row r="65" spans="1:11" x14ac:dyDescent="0.25">
      <c r="A65" s="111" t="s">
        <v>1571</v>
      </c>
      <c r="B65" s="108" t="s">
        <v>1318</v>
      </c>
      <c r="C65" s="300">
        <f>2000/18*0.5</f>
        <v>55.555555555555557</v>
      </c>
      <c r="D65" s="108"/>
      <c r="E65" s="87"/>
      <c r="F65" s="87"/>
      <c r="G65" s="87"/>
      <c r="H65" s="87"/>
      <c r="I65" s="87"/>
      <c r="J65" s="87"/>
      <c r="K65" s="87"/>
    </row>
    <row r="66" spans="1:11" x14ac:dyDescent="0.25">
      <c r="A66" s="87"/>
      <c r="B66" s="87"/>
      <c r="C66" s="87"/>
      <c r="D66" s="87"/>
      <c r="E66" s="87"/>
      <c r="F66" s="87"/>
      <c r="G66" s="87"/>
      <c r="H66" s="87"/>
      <c r="I66" s="87"/>
      <c r="J66" s="87"/>
      <c r="K66" s="87"/>
    </row>
    <row r="67" spans="1:11" x14ac:dyDescent="0.25">
      <c r="A67" s="87"/>
      <c r="B67" s="87"/>
      <c r="C67" s="87"/>
      <c r="D67" s="87"/>
      <c r="E67" s="87"/>
      <c r="F67" s="87"/>
      <c r="G67" s="87"/>
      <c r="H67" s="87"/>
      <c r="I67" s="87"/>
      <c r="J67" s="87"/>
      <c r="K67" s="87"/>
    </row>
    <row r="68" spans="1:11" x14ac:dyDescent="0.25">
      <c r="A68" s="87"/>
      <c r="B68" s="87"/>
      <c r="C68" s="87"/>
      <c r="D68" s="87"/>
      <c r="E68" s="87"/>
      <c r="F68" s="87"/>
      <c r="G68" s="87"/>
      <c r="H68" s="87"/>
      <c r="I68" s="87"/>
      <c r="J68" s="87"/>
      <c r="K68" s="87"/>
    </row>
    <row r="69" spans="1:11" x14ac:dyDescent="0.25">
      <c r="A69" s="87"/>
      <c r="B69" s="87"/>
      <c r="C69" s="87"/>
      <c r="D69" s="87"/>
      <c r="E69" s="87"/>
      <c r="F69" s="87"/>
      <c r="G69" s="87"/>
      <c r="H69" s="87"/>
      <c r="I69" s="87"/>
      <c r="J69" s="87"/>
      <c r="K69" s="87"/>
    </row>
    <row r="70" spans="1:11" x14ac:dyDescent="0.25">
      <c r="A70" s="87"/>
      <c r="B70" s="87"/>
      <c r="C70" s="87"/>
      <c r="D70" s="87"/>
      <c r="E70" s="87"/>
      <c r="F70" s="87"/>
      <c r="G70" s="87"/>
      <c r="H70" s="87"/>
      <c r="I70" s="87"/>
      <c r="J70" s="87"/>
      <c r="K70" s="87"/>
    </row>
    <row r="71" spans="1:11" x14ac:dyDescent="0.25">
      <c r="A71" s="87"/>
      <c r="B71" s="87"/>
      <c r="C71" s="87"/>
      <c r="D71" s="87"/>
      <c r="E71" s="87"/>
      <c r="F71" s="87"/>
      <c r="G71" s="87"/>
      <c r="H71" s="87"/>
      <c r="I71" s="87"/>
      <c r="J71" s="87"/>
      <c r="K71" s="87"/>
    </row>
    <row r="72" spans="1:11" x14ac:dyDescent="0.25">
      <c r="A72" s="87"/>
      <c r="B72" s="87"/>
      <c r="C72" s="87"/>
      <c r="D72" s="87"/>
      <c r="E72" s="87"/>
      <c r="F72" s="87"/>
      <c r="G72" s="87"/>
      <c r="H72" s="87"/>
      <c r="I72" s="87"/>
      <c r="J72" s="87"/>
      <c r="K72" s="87"/>
    </row>
    <row r="73" spans="1:11" x14ac:dyDescent="0.25">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Андрей</cp:lastModifiedBy>
  <cp:lastPrinted>2017-03-20T11:52:12Z</cp:lastPrinted>
  <dcterms:created xsi:type="dcterms:W3CDTF">2016-10-10T08:58:27Z</dcterms:created>
  <dcterms:modified xsi:type="dcterms:W3CDTF">2017-03-24T09:31:05Z</dcterms:modified>
  <cp:category>Приложение</cp:category>
</cp:coreProperties>
</file>